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C6D8726A-6680-4689-B333-88AE765A4F97}" xr6:coauthVersionLast="47" xr6:coauthVersionMax="47" xr10:uidLastSave="{00000000-0000-0000-0000-000000000000}"/>
  <bookViews>
    <workbookView xWindow="0" yWindow="9" windowWidth="30069" windowHeight="18060" tabRatio="848" xr2:uid="{1CEF5198-7F2F-4265-AF5F-2414F5B7AE3B}"/>
  </bookViews>
  <sheets>
    <sheet name="About" sheetId="8" r:id="rId1"/>
    <sheet name="SBR1 Transactions &amp; Errors" sheetId="5" r:id="rId2"/>
    <sheet name="SBR2 Transactions" sheetId="6" r:id="rId3"/>
    <sheet name="SBR2 Errors" sheetId="7" r:id="rId4"/>
  </sheets>
  <externalReferences>
    <externalReference r:id="rId5"/>
    <externalReference r:id="rId6"/>
  </externalReferences>
  <definedNames>
    <definedName name="_xlnm._FilterDatabase" localSheetId="1" hidden="1">'SBR1 Transactions &amp; Errors'!$E$2:$I$2</definedName>
    <definedName name="_xlnm._FilterDatabase" localSheetId="3" hidden="1">'SBR2 Errors'!$A$2:$K$2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5" l="1"/>
  <c r="B30" i="5"/>
  <c r="C29" i="5"/>
  <c r="B29" i="5"/>
  <c r="C28" i="5"/>
  <c r="B28" i="5"/>
  <c r="C27" i="5"/>
  <c r="B27" i="5"/>
  <c r="C24" i="5"/>
  <c r="B24" i="5"/>
  <c r="C23" i="5"/>
  <c r="B23" i="5"/>
  <c r="C22" i="5"/>
  <c r="B22" i="5"/>
  <c r="C21" i="5"/>
  <c r="B21" i="5"/>
  <c r="C20" i="5"/>
  <c r="B20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8" i="5"/>
  <c r="B8" i="5"/>
  <c r="C7" i="5"/>
  <c r="B7" i="5"/>
  <c r="C6" i="5"/>
  <c r="B6" i="5"/>
  <c r="C5" i="5"/>
  <c r="B5" i="5"/>
  <c r="C4" i="5"/>
  <c r="B4" i="5"/>
  <c r="C3" i="5"/>
  <c r="B3" i="5"/>
  <c r="C45" i="7" a="1"/>
  <c r="C45" i="7" s="1"/>
  <c r="J42" i="7"/>
  <c r="J42" i="7" a="1"/>
  <c r="B42" i="7" a="1"/>
  <c r="B42" i="7" s="1"/>
  <c r="H39" i="7"/>
  <c r="H39" i="7" a="1"/>
  <c r="B39" i="7" a="1"/>
  <c r="B39" i="7" s="1"/>
  <c r="H38" i="7" a="1"/>
  <c r="H38" i="7" s="1"/>
  <c r="B38" i="7"/>
  <c r="B38" i="7" a="1"/>
  <c r="H37" i="7"/>
  <c r="H37" i="7" a="1"/>
  <c r="B36" i="7"/>
  <c r="B36" i="7" a="1"/>
  <c r="H35" i="7" a="1"/>
  <c r="H35" i="7" s="1"/>
  <c r="C35" i="7" a="1"/>
  <c r="C35" i="7" s="1"/>
  <c r="I34" i="7"/>
  <c r="I34" i="7" a="1"/>
  <c r="B34" i="7" a="1"/>
  <c r="B34" i="7" s="1"/>
  <c r="B33" i="7" a="1"/>
  <c r="B33" i="7" s="1"/>
  <c r="H32" i="7"/>
  <c r="H32" i="7" a="1"/>
  <c r="B32" i="7" a="1"/>
  <c r="B32" i="7" s="1"/>
  <c r="I30" i="7" a="1"/>
  <c r="I30" i="7" s="1"/>
  <c r="C30" i="7" a="1"/>
  <c r="C30" i="7" s="1"/>
  <c r="B27" i="7" a="1"/>
  <c r="B27" i="7" s="1"/>
  <c r="H26" i="7"/>
  <c r="H26" i="7" a="1"/>
  <c r="E25" i="7" a="1"/>
  <c r="E25" i="7" s="1"/>
  <c r="C25" i="7" a="1"/>
  <c r="C25" i="7" s="1"/>
  <c r="E23" i="7"/>
  <c r="E23" i="7" a="1"/>
  <c r="B23" i="7" a="1"/>
  <c r="B23" i="7" s="1"/>
  <c r="E21" i="7"/>
  <c r="E21" i="7" a="1"/>
  <c r="B21" i="7" a="1"/>
  <c r="B21" i="7" s="1"/>
  <c r="H20" i="7"/>
  <c r="H20" i="7" a="1"/>
  <c r="I19" i="7" a="1"/>
  <c r="I19" i="7" s="1"/>
  <c r="E19" i="7"/>
  <c r="E19" i="7" a="1"/>
  <c r="B19" i="7" a="1"/>
  <c r="B19" i="7" s="1"/>
  <c r="H18" i="7"/>
  <c r="H18" i="7" a="1"/>
  <c r="B18" i="7"/>
  <c r="B18" i="7" a="1"/>
  <c r="I17" i="7"/>
  <c r="I17" i="7" a="1"/>
  <c r="H16" i="7" a="1"/>
  <c r="H16" i="7" s="1"/>
  <c r="B15" i="7"/>
  <c r="B15" i="7" a="1"/>
  <c r="B13" i="7"/>
  <c r="B13" i="7" a="1"/>
  <c r="H12" i="7"/>
  <c r="H12" i="7" a="1"/>
  <c r="J11" i="7" a="1"/>
  <c r="J11" i="7" s="1"/>
  <c r="B11" i="7" a="1"/>
  <c r="B11" i="7" s="1"/>
  <c r="H10" i="7" a="1"/>
  <c r="H10" i="7" s="1"/>
  <c r="B10" i="7"/>
  <c r="B10" i="7" a="1"/>
  <c r="B9" i="7" a="1"/>
  <c r="B9" i="7" s="1"/>
  <c r="J8" i="7"/>
  <c r="J8" i="7" a="1"/>
  <c r="E7" i="7" a="1"/>
  <c r="E7" i="7" s="1"/>
  <c r="B7" i="7"/>
  <c r="B7" i="7" a="1"/>
  <c r="E5" i="7" a="1"/>
  <c r="E5" i="7" s="1"/>
  <c r="B5" i="7" a="1"/>
  <c r="B5" i="7" s="1"/>
  <c r="H3" i="7" a="1"/>
  <c r="H3" i="7" s="1"/>
  <c r="E3" i="7"/>
  <c r="E3" i="7" a="1"/>
  <c r="B3" i="7" a="1"/>
  <c r="B3" i="7" s="1"/>
  <c r="F49" i="6" a="1"/>
  <c r="F49" i="6" s="1"/>
  <c r="B49" i="6" a="1"/>
  <c r="B49" i="6" s="1"/>
  <c r="F48" i="6" a="1"/>
  <c r="F48" i="6" s="1"/>
  <c r="B48" i="6" a="1"/>
  <c r="B48" i="6" s="1"/>
  <c r="B46" i="6" a="1"/>
  <c r="B46" i="6" s="1"/>
  <c r="F45" i="6" a="1"/>
  <c r="F45" i="6" s="1"/>
  <c r="F44" i="6" a="1"/>
  <c r="F44" i="6" s="1"/>
  <c r="F43" i="6" a="1"/>
  <c r="F43" i="6" s="1"/>
  <c r="B43" i="6" a="1"/>
  <c r="B43" i="6" s="1"/>
  <c r="F42" i="6" a="1"/>
  <c r="F42" i="6" s="1"/>
  <c r="F41" i="6" a="1"/>
  <c r="F41" i="6" s="1"/>
  <c r="B41" i="6" a="1"/>
  <c r="B41" i="6" s="1"/>
  <c r="F40" i="6" a="1"/>
  <c r="F40" i="6" s="1"/>
  <c r="F39" i="6" a="1"/>
  <c r="F39" i="6" s="1"/>
  <c r="B39" i="6" a="1"/>
  <c r="B39" i="6" s="1"/>
  <c r="F38" i="6" a="1"/>
  <c r="F38" i="6" s="1"/>
  <c r="B38" i="6" a="1"/>
  <c r="B38" i="6" s="1"/>
  <c r="F37" i="6" a="1"/>
  <c r="F37" i="6" s="1"/>
  <c r="B37" i="6" a="1"/>
  <c r="B37" i="6" s="1"/>
  <c r="F36" i="6" a="1"/>
  <c r="F36" i="6" s="1"/>
  <c r="B36" i="6" a="1"/>
  <c r="B36" i="6" s="1"/>
  <c r="F35" i="6" a="1"/>
  <c r="F35" i="6" s="1"/>
  <c r="B35" i="6" a="1"/>
  <c r="B35" i="6" s="1"/>
  <c r="F34" i="6" a="1"/>
  <c r="F34" i="6" s="1"/>
  <c r="F33" i="6" a="1"/>
  <c r="F33" i="6" s="1"/>
  <c r="B33" i="6" a="1"/>
  <c r="B33" i="6" s="1"/>
  <c r="F32" i="6" a="1"/>
  <c r="F32" i="6" s="1"/>
  <c r="F31" i="6" a="1"/>
  <c r="F31" i="6" s="1"/>
  <c r="F30" i="6" a="1"/>
  <c r="F30" i="6" s="1"/>
  <c r="B30" i="6" a="1"/>
  <c r="B30" i="6" s="1"/>
  <c r="F29" i="6" a="1"/>
  <c r="F29" i="6" s="1"/>
  <c r="B29" i="6" a="1"/>
  <c r="B29" i="6" s="1"/>
  <c r="F28" i="6" a="1"/>
  <c r="F28" i="6" s="1"/>
  <c r="F27" i="6" a="1"/>
  <c r="F27" i="6" s="1"/>
  <c r="B27" i="6" a="1"/>
  <c r="B27" i="6" s="1"/>
  <c r="F26" i="6" a="1"/>
  <c r="F26" i="6" s="1"/>
  <c r="B25" i="6" a="1"/>
  <c r="B25" i="6" s="1"/>
  <c r="F23" i="6" a="1"/>
  <c r="F23" i="6" s="1"/>
  <c r="B23" i="6" a="1"/>
  <c r="B23" i="6" s="1"/>
  <c r="F21" i="6" a="1"/>
  <c r="F21" i="6" s="1"/>
  <c r="B21" i="6" a="1"/>
  <c r="B21" i="6" s="1"/>
  <c r="F20" i="6" a="1"/>
  <c r="F20" i="6" s="1"/>
  <c r="B20" i="6" a="1"/>
  <c r="B20" i="6" s="1"/>
  <c r="F19" i="6" a="1"/>
  <c r="F19" i="6" s="1"/>
  <c r="F18" i="6" a="1"/>
  <c r="F18" i="6" s="1"/>
  <c r="B17" i="6" a="1"/>
  <c r="B17" i="6" s="1"/>
  <c r="F16" i="6" a="1"/>
  <c r="F16" i="6" s="1"/>
  <c r="B16" i="6" a="1"/>
  <c r="B16" i="6" s="1"/>
  <c r="B15" i="6" a="1"/>
  <c r="B15" i="6" s="1"/>
  <c r="F13" i="6" a="1"/>
  <c r="F13" i="6" s="1"/>
  <c r="B13" i="6" a="1"/>
  <c r="B13" i="6" s="1"/>
  <c r="F11" i="6" a="1"/>
  <c r="F11" i="6" s="1"/>
  <c r="B11" i="6" a="1"/>
  <c r="B11" i="6" s="1"/>
  <c r="F10" i="6" a="1"/>
  <c r="F10" i="6" s="1"/>
  <c r="F9" i="6" a="1"/>
  <c r="F9" i="6" s="1"/>
  <c r="B9" i="6" a="1"/>
  <c r="B9" i="6" s="1"/>
  <c r="F7" i="6" a="1"/>
  <c r="F7" i="6" s="1"/>
  <c r="B7" i="6" a="1"/>
  <c r="B7" i="6" s="1"/>
  <c r="B6" i="6" a="1"/>
  <c r="B6" i="6" s="1"/>
  <c r="B4" i="6" a="1"/>
  <c r="B4" i="6" s="1"/>
  <c r="F3" i="6" a="1"/>
  <c r="F3" i="6" s="1"/>
  <c r="B3" i="6" a="1"/>
  <c r="B3" i="6" s="1"/>
  <c r="E49" i="7"/>
  <c r="I23" i="7"/>
  <c r="B31" i="7"/>
  <c r="C49" i="7"/>
  <c r="H42" i="7"/>
  <c r="K35" i="7"/>
  <c r="B26" i="7"/>
  <c r="K14" i="7"/>
  <c r="I24" i="7"/>
  <c r="E45" i="7"/>
  <c r="E39" i="7"/>
  <c r="K25" i="7"/>
  <c r="K13" i="7"/>
  <c r="K9" i="7"/>
  <c r="H8" i="7"/>
  <c r="D37" i="7"/>
  <c r="K33" i="7"/>
  <c r="H13" i="7"/>
  <c r="I9" i="7"/>
  <c r="K7" i="7"/>
  <c r="H22" i="7"/>
  <c r="J41" i="7"/>
  <c r="C37" i="7"/>
  <c r="E35" i="7"/>
  <c r="H33" i="7"/>
  <c r="J31" i="7"/>
  <c r="E27" i="7"/>
  <c r="H9" i="7"/>
  <c r="I7" i="7"/>
  <c r="E44" i="7"/>
  <c r="H41" i="7"/>
  <c r="J36" i="7"/>
  <c r="E33" i="7"/>
  <c r="H31" i="7"/>
  <c r="K22" i="7"/>
  <c r="J15" i="7"/>
  <c r="K10" i="7"/>
  <c r="E9" i="7"/>
  <c r="C44" i="7"/>
  <c r="J40" i="7"/>
  <c r="E36" i="7"/>
  <c r="D31" i="7"/>
  <c r="J22" i="7"/>
  <c r="E18" i="7"/>
  <c r="H15" i="7"/>
  <c r="K12" i="7"/>
  <c r="H4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<sst xmlns="http://schemas.openxmlformats.org/spreadsheetml/2006/main" count="294" uniqueCount="153">
  <si>
    <t>Count</t>
  </si>
  <si>
    <t># DSPs</t>
  </si>
  <si>
    <t>cgnft submit</t>
  </si>
  <si>
    <t>ctr lodge</t>
  </si>
  <si>
    <t>ctr prelodge</t>
  </si>
  <si>
    <t>ctr submit</t>
  </si>
  <si>
    <t>ctr validate</t>
  </si>
  <si>
    <t>empwthsprdtl get</t>
  </si>
  <si>
    <t>fbt submit</t>
  </si>
  <si>
    <t xml:space="preserve">fbt validate </t>
  </si>
  <si>
    <t>fbtlgcy validate</t>
  </si>
  <si>
    <t>fitr submit</t>
  </si>
  <si>
    <t>fitr validate</t>
  </si>
  <si>
    <t>fter submit</t>
  </si>
  <si>
    <t>fter validate</t>
  </si>
  <si>
    <t>iee submit</t>
  </si>
  <si>
    <t>iitr get</t>
  </si>
  <si>
    <t>iitr submit</t>
  </si>
  <si>
    <t>iitr validate</t>
  </si>
  <si>
    <t>iitrprfl get</t>
  </si>
  <si>
    <t>ptr submit</t>
  </si>
  <si>
    <t>ptr validate</t>
  </si>
  <si>
    <t>smsfar lodge</t>
  </si>
  <si>
    <t>smsfar prelodge</t>
  </si>
  <si>
    <t>smsfar submit</t>
  </si>
  <si>
    <t>smsfar validate</t>
  </si>
  <si>
    <t>trt lodge</t>
  </si>
  <si>
    <t>trt prelodge</t>
  </si>
  <si>
    <t>trt submit</t>
  </si>
  <si>
    <t>trt validate</t>
  </si>
  <si>
    <t>trtami submit</t>
  </si>
  <si>
    <t>trtami validate</t>
  </si>
  <si>
    <t>trustannualreport submit</t>
  </si>
  <si>
    <t xml:space="preserve">trusttfnreport submit </t>
  </si>
  <si>
    <t xml:space="preserve">Tax Time Services </t>
  </si>
  <si>
    <t>Superannuation Services</t>
  </si>
  <si>
    <t>fvsg get</t>
  </si>
  <si>
    <t>fvsg list</t>
  </si>
  <si>
    <t>fvsu submit</t>
  </si>
  <si>
    <t>smat2 list</t>
  </si>
  <si>
    <t>smsfmbrvrfy get</t>
  </si>
  <si>
    <t>smsfvrfy get</t>
  </si>
  <si>
    <t>sprmbracctx cancel</t>
  </si>
  <si>
    <t>sprmbracctx submit</t>
  </si>
  <si>
    <t>sprmbrinfo get</t>
  </si>
  <si>
    <t>sprmbrinfo submit</t>
  </si>
  <si>
    <t>stic submit</t>
  </si>
  <si>
    <t>Registration Services</t>
  </si>
  <si>
    <t>abnreg lodge</t>
  </si>
  <si>
    <t>abnregdtl prefill</t>
  </si>
  <si>
    <t>abnregent prefill</t>
  </si>
  <si>
    <t>abnregpoi prelodge</t>
  </si>
  <si>
    <t>abnregsts prefill</t>
  </si>
  <si>
    <t>abnregtaxadd lodge</t>
  </si>
  <si>
    <t>ps lodge</t>
  </si>
  <si>
    <t>ps prelodge</t>
  </si>
  <si>
    <t>payevnt submit</t>
  </si>
  <si>
    <t>payevnt update</t>
  </si>
  <si>
    <t>tfnd lodge</t>
  </si>
  <si>
    <t>tfnd prelodge</t>
  </si>
  <si>
    <t>tfnd submit</t>
  </si>
  <si>
    <t>tpar lodge</t>
  </si>
  <si>
    <t>tpar submit</t>
  </si>
  <si>
    <t>tpar validate</t>
  </si>
  <si>
    <t>Payroll Services</t>
  </si>
  <si>
    <t>as prefill</t>
  </si>
  <si>
    <t>as list</t>
  </si>
  <si>
    <t>as lodge</t>
  </si>
  <si>
    <t>as prelodge</t>
  </si>
  <si>
    <t>as get</t>
  </si>
  <si>
    <t>as submit</t>
  </si>
  <si>
    <t>as validate</t>
  </si>
  <si>
    <t>asmt get</t>
  </si>
  <si>
    <t>asmt list</t>
  </si>
  <si>
    <t>clntacc list</t>
  </si>
  <si>
    <t>clntaccsum list</t>
  </si>
  <si>
    <t>clntcomm get</t>
  </si>
  <si>
    <t>clntcomm list</t>
  </si>
  <si>
    <t>commpref get</t>
  </si>
  <si>
    <t>commpref list</t>
  </si>
  <si>
    <t>commpref submit</t>
  </si>
  <si>
    <t>cuaddr submit 16</t>
  </si>
  <si>
    <t>cuaddr validate 16</t>
  </si>
  <si>
    <t>cuaddrlist list</t>
  </si>
  <si>
    <t>cuassoc list</t>
  </si>
  <si>
    <t>cuauthdcntct validate</t>
  </si>
  <si>
    <t>cudtl get 16</t>
  </si>
  <si>
    <t>cudtl submit 16</t>
  </si>
  <si>
    <t>cufi list 16</t>
  </si>
  <si>
    <t>cufi submit 16</t>
  </si>
  <si>
    <t>curel list</t>
  </si>
  <si>
    <t>curel remove</t>
  </si>
  <si>
    <t>curel search</t>
  </si>
  <si>
    <t>curel submit</t>
  </si>
  <si>
    <t>curel validate</t>
  </si>
  <si>
    <t>PLS Services</t>
  </si>
  <si>
    <t>curnn submit</t>
  </si>
  <si>
    <t>grpt get</t>
  </si>
  <si>
    <t>ldg get</t>
  </si>
  <si>
    <t>ldglst list</t>
  </si>
  <si>
    <t>ldgprog list</t>
  </si>
  <si>
    <t>odrpt list</t>
  </si>
  <si>
    <t>txlst list</t>
  </si>
  <si>
    <t>mat submit</t>
  </si>
  <si>
    <t>mrpts submit</t>
  </si>
  <si>
    <t>prn get</t>
  </si>
  <si>
    <t>Other Services</t>
  </si>
  <si>
    <t>#DSPs</t>
  </si>
  <si>
    <t>lcmsf submit</t>
  </si>
  <si>
    <t>fbtlgcy submit</t>
  </si>
  <si>
    <t>abnreghlp prefill</t>
  </si>
  <si>
    <t>SBR1 - Errors</t>
  </si>
  <si>
    <t>Auth</t>
  </si>
  <si>
    <t>Val</t>
  </si>
  <si>
    <t>B/E</t>
  </si>
  <si>
    <t>Syst</t>
  </si>
  <si>
    <t>ptr prelodge</t>
  </si>
  <si>
    <t>Valid</t>
  </si>
  <si>
    <t>trusttfnreport submit</t>
  </si>
  <si>
    <t>fbt validate</t>
  </si>
  <si>
    <t>cuaddr submit</t>
  </si>
  <si>
    <t>cuaddr validate</t>
  </si>
  <si>
    <t>cudtl get</t>
  </si>
  <si>
    <t>cudtl submit</t>
  </si>
  <si>
    <t>cufi list</t>
  </si>
  <si>
    <t>cufi submit</t>
  </si>
  <si>
    <t>curel validate remove</t>
  </si>
  <si>
    <t>SBR 2 Errors</t>
  </si>
  <si>
    <t>PLS Service</t>
  </si>
  <si>
    <t>SBR2 Transactions</t>
  </si>
  <si>
    <t>Registration Errors</t>
  </si>
  <si>
    <t>Payroll  Errors</t>
  </si>
  <si>
    <t>Tax Time  Errors</t>
  </si>
  <si>
    <t>SBR1 Transactions</t>
  </si>
  <si>
    <t xml:space="preserve">Tax Time Errors </t>
  </si>
  <si>
    <t>PLS Errors</t>
  </si>
  <si>
    <t>Other Errors</t>
  </si>
  <si>
    <t>Payroll Errors</t>
  </si>
  <si>
    <t>PLS Service Errors</t>
  </si>
  <si>
    <t>cufi validate 16</t>
  </si>
  <si>
    <t>ldgnn submit</t>
  </si>
  <si>
    <t>ldgprgm list</t>
  </si>
  <si>
    <t>cbc submit</t>
  </si>
  <si>
    <t xml:space="preserve">Superannuation Errors </t>
  </si>
  <si>
    <t>iee validate</t>
  </si>
  <si>
    <t>cureladd submit</t>
  </si>
  <si>
    <t>curel validateremove</t>
  </si>
  <si>
    <t>ELStagFormat lodge</t>
  </si>
  <si>
    <t xml:space="preserve">cufi validate </t>
  </si>
  <si>
    <r>
      <rPr>
        <b/>
        <sz val="48"/>
        <color theme="4" tint="-0.499984740745262"/>
        <rFont val="Calibri"/>
        <family val="2"/>
        <scheme val="minor"/>
      </rPr>
      <t>SBR Metrics - March 2023</t>
    </r>
    <r>
      <rPr>
        <b/>
        <sz val="11"/>
        <color theme="4" tint="-0.499984740745262"/>
        <rFont val="Calibri"/>
        <family val="2"/>
        <scheme val="minor"/>
      </rPr>
      <t xml:space="preserve">
- SBR1 Transactions &amp; Errors
- SBR2 Transactions
- SBR2 Errors
</t>
    </r>
    <r>
      <rPr>
        <b/>
        <sz val="12"/>
        <color theme="4" tint="-0.499984740745262"/>
        <rFont val="Calibri"/>
        <family val="2"/>
        <scheme val="minor"/>
      </rPr>
      <t>Digital Partnership Office</t>
    </r>
  </si>
  <si>
    <r>
      <rPr>
        <b/>
        <sz val="8"/>
        <color theme="1"/>
        <rFont val="Calibri"/>
        <family val="2"/>
        <scheme val="minor"/>
      </rPr>
      <t>Metrics | Service details for March 2023</t>
    </r>
    <r>
      <rPr>
        <sz val="8"/>
        <color theme="1"/>
        <rFont val="Calibri"/>
        <family val="2"/>
        <scheme val="minor"/>
      </rPr>
      <t xml:space="preserve">
The transaction count only includes services where transactions have been submitted during the month of March. Services with a zero count are not included in the table. Services with multiple collaboration year details are consolidated in the single count. The count includes SRP and BRRP transactions. Note: Unique DSPs have been identified in the message header and is reliant on the DSP providing a unique single organisational name.</t>
    </r>
  </si>
  <si>
    <r>
      <rPr>
        <b/>
        <sz val="8"/>
        <color theme="1"/>
        <rFont val="Calibri"/>
        <family val="2"/>
        <scheme val="minor"/>
      </rPr>
      <t>Metrics| Error details per service type for March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March.  The errors have been grouped into 4 broad categories to provide an understanding of where the error is occurring.  Services with multiple collaboration year details are consolidated in the single count. </t>
    </r>
  </si>
  <si>
    <r>
      <rPr>
        <b/>
        <sz val="8"/>
        <color theme="1"/>
        <rFont val="Calibri"/>
        <family val="2"/>
        <scheme val="minor"/>
      </rPr>
      <t>Metrics| Error details per service type for March 2023</t>
    </r>
    <r>
      <rPr>
        <sz val="8"/>
        <color theme="1"/>
        <rFont val="Calibri"/>
        <family val="2"/>
        <scheme val="minor"/>
      </rPr>
      <t xml:space="preserve">
The error count only includes services where transactions have been submitted during the month of March. The errors have been grouped into 4 broad categories to provide an understanding of where the error is occurring.  Services with multiple collaboration year details are consolidated in the single count. 
LEGEND: Error Types
Auth = Failed Authorisation
Val =  Failed Validation
B/E = Back-end error
Syst = System/Data error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</si>
</sst>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Poppins"/>
    </font>
    <font>
      <b/>
      <sz val="18"/>
      <color theme="0"/>
      <name val="Poppins"/>
    </font>
    <font>
      <sz val="11"/>
      <color theme="0"/>
      <name val="Poppins"/>
    </font>
    <font>
      <b/>
      <sz val="11"/>
      <color theme="4" tint="-0.499984740745262"/>
      <name val="Calibri"/>
      <family val="2"/>
      <scheme val="minor"/>
    </font>
    <font>
      <b/>
      <sz val="48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40">
    <border>
      <left/>
      <right/>
      <top/>
      <bottom/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F6FC6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hair">
        <color rgb="FF0F6FC6"/>
      </bottom>
      <diagonal/>
    </border>
    <border>
      <left style="thin">
        <color indexed="64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thin">
        <color indexed="64"/>
      </right>
      <top style="hair">
        <color rgb="FF0F6FC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 style="thin">
        <color indexed="64"/>
      </right>
      <top style="thin">
        <color indexed="64"/>
      </top>
      <bottom style="hair">
        <color rgb="FF0F6FC6"/>
      </bottom>
      <diagonal/>
    </border>
    <border>
      <left style="hair">
        <color rgb="FF0F6FC6"/>
      </left>
      <right/>
      <top style="thin">
        <color indexed="64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hair">
        <color rgb="FF0F6FC6"/>
      </bottom>
      <diagonal/>
    </border>
    <border>
      <left style="thin">
        <color indexed="64"/>
      </left>
      <right/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hair">
        <color rgb="FF0F6FC6"/>
      </top>
      <bottom/>
      <diagonal/>
    </border>
    <border>
      <left style="hair">
        <color rgb="FF0F6FC6"/>
      </left>
      <right style="thin">
        <color indexed="64"/>
      </right>
      <top style="hair">
        <color rgb="FF0F6FC6"/>
      </top>
      <bottom/>
      <diagonal/>
    </border>
    <border>
      <left style="thin">
        <color indexed="64"/>
      </left>
      <right style="hair">
        <color rgb="FF0F6FC6"/>
      </right>
      <top/>
      <bottom/>
      <diagonal/>
    </border>
    <border>
      <left/>
      <right style="hair">
        <color rgb="FF0F6FC6"/>
      </right>
      <top style="thin">
        <color indexed="64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hair">
        <color rgb="FF0F6FC6"/>
      </bottom>
      <diagonal/>
    </border>
    <border>
      <left/>
      <right style="hair">
        <color rgb="FF0F6FC6"/>
      </right>
      <top style="hair">
        <color rgb="FF0F6FC6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 style="thin">
        <color indexed="64"/>
      </top>
      <bottom/>
      <diagonal/>
    </border>
    <border>
      <left style="hair">
        <color rgb="FF0F6FC6"/>
      </left>
      <right style="thin">
        <color indexed="64"/>
      </right>
      <top style="thin">
        <color indexed="64"/>
      </top>
      <bottom/>
      <diagonal/>
    </border>
    <border>
      <left style="hair">
        <color rgb="FF0F6FC6"/>
      </left>
      <right style="hair">
        <color rgb="FF0F6FC6"/>
      </right>
      <top/>
      <bottom/>
      <diagonal/>
    </border>
    <border>
      <left style="hair">
        <color rgb="FF0F6FC6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F6FC6"/>
      </left>
      <right style="hair">
        <color rgb="FF0F6FC6"/>
      </right>
      <top/>
      <bottom style="hair">
        <color rgb="FF0F6FC6"/>
      </bottom>
      <diagonal/>
    </border>
    <border>
      <left style="hair">
        <color rgb="FF0F6FC6"/>
      </left>
      <right style="thin">
        <color indexed="64"/>
      </right>
      <top/>
      <bottom style="hair">
        <color rgb="FF0F6FC6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top" wrapText="1"/>
    </xf>
    <xf numFmtId="0" fontId="7" fillId="2" borderId="1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3" fillId="3" borderId="13" xfId="0" applyFont="1" applyFill="1" applyBorder="1" applyAlignment="1">
      <alignment horizontal="left" vertical="center" wrapText="1" readingOrder="1"/>
    </xf>
    <xf numFmtId="0" fontId="3" fillId="3" borderId="14" xfId="0" applyFont="1" applyFill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" fillId="0" borderId="0" xfId="0" applyFont="1" applyBorder="1"/>
    <xf numFmtId="0" fontId="9" fillId="0" borderId="0" xfId="0" applyFont="1" applyFill="1" applyAlignment="1">
      <alignment vertical="center"/>
    </xf>
    <xf numFmtId="0" fontId="0" fillId="0" borderId="0" xfId="0" applyFill="1"/>
    <xf numFmtId="0" fontId="7" fillId="2" borderId="17" xfId="0" applyFont="1" applyFill="1" applyBorder="1" applyAlignment="1">
      <alignment horizontal="center" vertical="center" wrapText="1" readingOrder="1"/>
    </xf>
    <xf numFmtId="0" fontId="7" fillId="2" borderId="18" xfId="0" applyFont="1" applyFill="1" applyBorder="1" applyAlignment="1">
      <alignment horizontal="center" vertical="center" wrapText="1" readingOrder="1"/>
    </xf>
    <xf numFmtId="0" fontId="7" fillId="2" borderId="19" xfId="0" applyFont="1" applyFill="1" applyBorder="1" applyAlignment="1">
      <alignment horizontal="center" vertical="center" wrapText="1" readingOrder="1"/>
    </xf>
    <xf numFmtId="0" fontId="3" fillId="3" borderId="20" xfId="0" applyFont="1" applyFill="1" applyBorder="1" applyAlignment="1">
      <alignment horizontal="left" vertical="center" wrapText="1" readingOrder="1"/>
    </xf>
    <xf numFmtId="0" fontId="8" fillId="5" borderId="0" xfId="0" applyFont="1" applyFill="1" applyAlignment="1">
      <alignment vertical="center"/>
    </xf>
    <xf numFmtId="0" fontId="2" fillId="0" borderId="0" xfId="0" applyFont="1" applyFill="1"/>
    <xf numFmtId="0" fontId="7" fillId="2" borderId="11" xfId="0" applyFont="1" applyFill="1" applyBorder="1" applyAlignment="1">
      <alignment horizontal="left" vertical="center" wrapText="1" readingOrder="1"/>
    </xf>
    <xf numFmtId="0" fontId="7" fillId="2" borderId="18" xfId="0" applyFont="1" applyFill="1" applyBorder="1" applyAlignment="1">
      <alignment horizontal="left" vertical="center" wrapText="1" readingOrder="1"/>
    </xf>
    <xf numFmtId="0" fontId="3" fillId="3" borderId="13" xfId="0" applyFont="1" applyFill="1" applyBorder="1" applyAlignment="1">
      <alignment horizontal="left" vertical="center" readingOrder="1"/>
    </xf>
    <xf numFmtId="0" fontId="3" fillId="3" borderId="25" xfId="0" applyFont="1" applyFill="1" applyBorder="1" applyAlignment="1">
      <alignment horizontal="left" vertical="center" wrapText="1" readingOrder="1"/>
    </xf>
    <xf numFmtId="0" fontId="3" fillId="3" borderId="26" xfId="0" applyFont="1" applyFill="1" applyBorder="1" applyAlignment="1">
      <alignment horizontal="left" vertical="center" wrapText="1" readingOrder="1"/>
    </xf>
    <xf numFmtId="0" fontId="7" fillId="2" borderId="27" xfId="0" applyFont="1" applyFill="1" applyBorder="1" applyAlignment="1">
      <alignment horizontal="center" vertical="center" wrapText="1" readingOrder="1"/>
    </xf>
    <xf numFmtId="0" fontId="7" fillId="2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left" vertical="center" wrapText="1" readingOrder="1"/>
    </xf>
    <xf numFmtId="0" fontId="3" fillId="3" borderId="30" xfId="0" applyFont="1" applyFill="1" applyBorder="1" applyAlignment="1">
      <alignment horizontal="left" vertical="center" wrapText="1" readingOrder="1"/>
    </xf>
    <xf numFmtId="0" fontId="3" fillId="3" borderId="31" xfId="0" applyFont="1" applyFill="1" applyBorder="1" applyAlignment="1">
      <alignment horizontal="left" vertical="center" wrapText="1" readingOrder="1"/>
    </xf>
    <xf numFmtId="0" fontId="3" fillId="3" borderId="32" xfId="0" applyFont="1" applyFill="1" applyBorder="1" applyAlignment="1">
      <alignment horizontal="left" vertical="center" wrapText="1" readingOrder="1"/>
    </xf>
    <xf numFmtId="0" fontId="7" fillId="2" borderId="22" xfId="0" applyFont="1" applyFill="1" applyBorder="1" applyAlignment="1">
      <alignment horizontal="center" vertical="center" wrapText="1" readingOrder="1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 wrapText="1" readingOrder="1"/>
    </xf>
    <xf numFmtId="0" fontId="7" fillId="2" borderId="33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wrapText="1" readingOrder="1"/>
    </xf>
    <xf numFmtId="0" fontId="7" fillId="2" borderId="35" xfId="0" applyFont="1" applyFill="1" applyBorder="1" applyAlignment="1">
      <alignment horizontal="center" vertical="center" wrapText="1" readingOrder="1"/>
    </xf>
    <xf numFmtId="0" fontId="7" fillId="2" borderId="35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10" fillId="0" borderId="37" xfId="0" applyFont="1" applyBorder="1" applyAlignment="1">
      <alignment vertical="center" wrapText="1"/>
    </xf>
    <xf numFmtId="0" fontId="4" fillId="0" borderId="22" xfId="0" applyFont="1" applyBorder="1" applyAlignment="1">
      <alignment horizontal="right" wrapText="1" readingOrder="1"/>
    </xf>
    <xf numFmtId="0" fontId="4" fillId="0" borderId="23" xfId="0" applyFont="1" applyBorder="1" applyAlignment="1">
      <alignment horizontal="right" wrapText="1" readingOrder="1"/>
    </xf>
    <xf numFmtId="0" fontId="4" fillId="0" borderId="1" xfId="0" applyFont="1" applyBorder="1" applyAlignment="1">
      <alignment horizontal="right" wrapText="1" readingOrder="1"/>
    </xf>
    <xf numFmtId="0" fontId="4" fillId="0" borderId="12" xfId="0" applyFont="1" applyBorder="1" applyAlignment="1">
      <alignment horizontal="right" wrapText="1" readingOrder="1"/>
    </xf>
    <xf numFmtId="0" fontId="4" fillId="0" borderId="15" xfId="0" applyFont="1" applyBorder="1" applyAlignment="1">
      <alignment horizontal="right" wrapText="1" readingOrder="1"/>
    </xf>
    <xf numFmtId="0" fontId="4" fillId="0" borderId="16" xfId="0" applyFont="1" applyBorder="1" applyAlignment="1">
      <alignment horizontal="right" wrapText="1" readingOrder="1"/>
    </xf>
    <xf numFmtId="0" fontId="4" fillId="0" borderId="38" xfId="0" applyFont="1" applyBorder="1" applyAlignment="1">
      <alignment horizontal="right" wrapText="1" readingOrder="1"/>
    </xf>
    <xf numFmtId="0" fontId="4" fillId="0" borderId="39" xfId="0" applyFont="1" applyBorder="1" applyAlignment="1">
      <alignment horizontal="right" wrapText="1" readingOrder="1"/>
    </xf>
    <xf numFmtId="0" fontId="4" fillId="0" borderId="15" xfId="0" applyFont="1" applyBorder="1" applyAlignment="1">
      <alignment horizontal="center" vertical="center" wrapText="1" readingOrder="1"/>
    </xf>
    <xf numFmtId="0" fontId="4" fillId="0" borderId="16" xfId="0" applyFont="1" applyBorder="1" applyAlignment="1">
      <alignment horizontal="center" vertical="center" wrapText="1" readingOrder="1"/>
    </xf>
    <xf numFmtId="0" fontId="8" fillId="0" borderId="0" xfId="0" applyFont="1" applyAlignment="1">
      <alignment vertical="center"/>
    </xf>
    <xf numFmtId="0" fontId="5" fillId="0" borderId="0" xfId="0" applyFont="1"/>
    <xf numFmtId="0" fontId="4" fillId="0" borderId="10" xfId="0" applyFont="1" applyBorder="1" applyAlignment="1">
      <alignment horizontal="right" wrapText="1" readingOrder="1"/>
    </xf>
    <xf numFmtId="0" fontId="4" fillId="0" borderId="24" xfId="0" applyFont="1" applyBorder="1" applyAlignment="1">
      <alignment horizontal="right" wrapText="1" readingOrder="1"/>
    </xf>
    <xf numFmtId="0" fontId="4" fillId="0" borderId="21" xfId="0" applyFont="1" applyBorder="1" applyAlignment="1">
      <alignment horizontal="right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4" fillId="0" borderId="12" xfId="0" applyFont="1" applyBorder="1" applyAlignment="1">
      <alignment horizontal="right" vertical="center" wrapText="1" readingOrder="1"/>
    </xf>
    <xf numFmtId="0" fontId="4" fillId="0" borderId="15" xfId="0" applyFont="1" applyBorder="1" applyAlignment="1">
      <alignment horizontal="right" vertical="center" wrapText="1" readingOrder="1"/>
    </xf>
    <xf numFmtId="0" fontId="4" fillId="0" borderId="16" xfId="0" applyFont="1" applyBorder="1" applyAlignment="1">
      <alignment horizontal="right" vertical="center" wrapText="1" readingOrder="1"/>
    </xf>
    <xf numFmtId="0" fontId="4" fillId="0" borderId="22" xfId="0" applyFont="1" applyBorder="1" applyAlignment="1">
      <alignment horizontal="right" vertical="center" wrapText="1" readingOrder="1"/>
    </xf>
    <xf numFmtId="0" fontId="4" fillId="0" borderId="23" xfId="0" applyFont="1" applyBorder="1" applyAlignment="1">
      <alignment horizontal="right" vertical="center" wrapText="1" readingOrder="1"/>
    </xf>
    <xf numFmtId="0" fontId="8" fillId="5" borderId="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 readingOrder="1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ENGAGEMENTS\WIP%20Asma\SBR\MonthYear_SBR%20Metrics_v0.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ENGAGEMENTS\WIP%20Asma\Mar2023_SBR%20Metric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out"/>
      <sheetName val="SBR1 Transactions &amp; Errors"/>
      <sheetName val="SBR2 Transactions"/>
      <sheetName val="SBR2 Errors"/>
      <sheetName val="SBR1 D&amp;E"/>
      <sheetName val="SBR1 PROD"/>
      <sheetName val="Sheet2"/>
    </sheetNames>
    <sheetDataSet>
      <sheetData sheetId="0"/>
      <sheetData sheetId="1"/>
      <sheetData sheetId="2"/>
      <sheetData sheetId="3"/>
      <sheetData sheetId="4">
        <row r="3">
          <cell r="A3" t="str">
            <v>Row Labels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out"/>
      <sheetName val="SBR2 D&amp;E"/>
      <sheetName val="SBR1 Transactions &amp; Errors"/>
      <sheetName val="SBR2 Transactions"/>
      <sheetName val="SBR2 Errors"/>
    </sheetNames>
    <sheetDataSet>
      <sheetData sheetId="0"/>
      <sheetData sheetId="1">
        <row r="3">
          <cell r="G3" t="str">
            <v>Row Labels</v>
          </cell>
        </row>
        <row r="5">
          <cell r="B5">
            <v>497127</v>
          </cell>
          <cell r="C5">
            <v>18</v>
          </cell>
          <cell r="H5">
            <v>91</v>
          </cell>
          <cell r="I5">
            <v>280</v>
          </cell>
          <cell r="J5">
            <v>24296</v>
          </cell>
          <cell r="K5">
            <v>1786</v>
          </cell>
        </row>
        <row r="6">
          <cell r="B6">
            <v>883514</v>
          </cell>
          <cell r="C6">
            <v>19</v>
          </cell>
          <cell r="H6">
            <v>9343</v>
          </cell>
          <cell r="I6">
            <v>174</v>
          </cell>
          <cell r="J6">
            <v>435973</v>
          </cell>
          <cell r="K6">
            <v>2575</v>
          </cell>
        </row>
        <row r="7">
          <cell r="B7">
            <v>284625</v>
          </cell>
          <cell r="C7">
            <v>16</v>
          </cell>
          <cell r="H7">
            <v>714</v>
          </cell>
          <cell r="I7">
            <v>164</v>
          </cell>
          <cell r="J7">
            <v>17828</v>
          </cell>
          <cell r="K7">
            <v>1200</v>
          </cell>
        </row>
        <row r="8">
          <cell r="B8">
            <v>49586</v>
          </cell>
          <cell r="C8">
            <v>15</v>
          </cell>
          <cell r="H8">
            <v>65</v>
          </cell>
          <cell r="I8">
            <v>71</v>
          </cell>
          <cell r="J8">
            <v>6323</v>
          </cell>
          <cell r="K8">
            <v>109</v>
          </cell>
        </row>
        <row r="10">
          <cell r="B10">
            <v>126873</v>
          </cell>
          <cell r="C10">
            <v>7</v>
          </cell>
        </row>
        <row r="11">
          <cell r="B11">
            <v>872482</v>
          </cell>
          <cell r="C11">
            <v>7</v>
          </cell>
          <cell r="J11">
            <v>2596</v>
          </cell>
          <cell r="K11">
            <v>978</v>
          </cell>
        </row>
        <row r="13">
          <cell r="B13">
            <v>1</v>
          </cell>
          <cell r="C13">
            <v>1</v>
          </cell>
        </row>
        <row r="15">
          <cell r="B15">
            <v>5</v>
          </cell>
          <cell r="C15">
            <v>2</v>
          </cell>
        </row>
        <row r="17">
          <cell r="B17">
            <v>4369</v>
          </cell>
          <cell r="C17">
            <v>3</v>
          </cell>
        </row>
        <row r="19">
          <cell r="B19">
            <v>132115</v>
          </cell>
          <cell r="C19">
            <v>4</v>
          </cell>
          <cell r="H19">
            <v>1516</v>
          </cell>
          <cell r="I19">
            <v>81</v>
          </cell>
        </row>
        <row r="21">
          <cell r="B21">
            <v>29176</v>
          </cell>
          <cell r="C21">
            <v>6</v>
          </cell>
          <cell r="J21">
            <v>72</v>
          </cell>
          <cell r="K21">
            <v>34</v>
          </cell>
        </row>
        <row r="22">
          <cell r="B22">
            <v>38796</v>
          </cell>
          <cell r="C22">
            <v>6</v>
          </cell>
          <cell r="H22">
            <v>490</v>
          </cell>
          <cell r="I22">
            <v>798</v>
          </cell>
        </row>
        <row r="24">
          <cell r="B24">
            <v>3723</v>
          </cell>
          <cell r="C24">
            <v>2</v>
          </cell>
        </row>
        <row r="25">
          <cell r="B25">
            <v>648</v>
          </cell>
          <cell r="C25">
            <v>1</v>
          </cell>
        </row>
        <row r="26">
          <cell r="B26">
            <v>1227</v>
          </cell>
          <cell r="C26">
            <v>2</v>
          </cell>
        </row>
        <row r="28">
          <cell r="B28">
            <v>132701</v>
          </cell>
          <cell r="C28">
            <v>19</v>
          </cell>
          <cell r="H28">
            <v>953</v>
          </cell>
          <cell r="I28">
            <v>1663</v>
          </cell>
          <cell r="K28">
            <v>302</v>
          </cell>
        </row>
        <row r="29">
          <cell r="B29">
            <v>31968</v>
          </cell>
          <cell r="C29">
            <v>16</v>
          </cell>
          <cell r="H29">
            <v>302</v>
          </cell>
          <cell r="I29">
            <v>1884</v>
          </cell>
          <cell r="K29">
            <v>20</v>
          </cell>
        </row>
        <row r="31">
          <cell r="B31">
            <v>647</v>
          </cell>
          <cell r="C31">
            <v>5</v>
          </cell>
          <cell r="H31">
            <v>34</v>
          </cell>
          <cell r="I31">
            <v>35</v>
          </cell>
          <cell r="J31">
            <v>189</v>
          </cell>
        </row>
        <row r="32">
          <cell r="B32">
            <v>12</v>
          </cell>
          <cell r="C32">
            <v>2</v>
          </cell>
          <cell r="I32">
            <v>2</v>
          </cell>
          <cell r="J32">
            <v>1</v>
          </cell>
        </row>
        <row r="34">
          <cell r="B34">
            <v>16015</v>
          </cell>
          <cell r="C34">
            <v>6</v>
          </cell>
          <cell r="H34">
            <v>259</v>
          </cell>
          <cell r="I34">
            <v>2</v>
          </cell>
          <cell r="J34">
            <v>1</v>
          </cell>
          <cell r="K34">
            <v>11</v>
          </cell>
        </row>
        <row r="36">
          <cell r="B36">
            <v>7</v>
          </cell>
          <cell r="C36">
            <v>1</v>
          </cell>
        </row>
        <row r="38">
          <cell r="B38">
            <v>13</v>
          </cell>
          <cell r="C38">
            <v>1</v>
          </cell>
          <cell r="I38">
            <v>7</v>
          </cell>
          <cell r="J38">
            <v>6</v>
          </cell>
        </row>
        <row r="40">
          <cell r="B40">
            <v>13073</v>
          </cell>
          <cell r="C40">
            <v>2</v>
          </cell>
          <cell r="H40">
            <v>260</v>
          </cell>
          <cell r="I40">
            <v>7</v>
          </cell>
          <cell r="J40">
            <v>947</v>
          </cell>
          <cell r="K40">
            <v>15</v>
          </cell>
        </row>
        <row r="41">
          <cell r="B41">
            <v>56</v>
          </cell>
          <cell r="C41">
            <v>4</v>
          </cell>
          <cell r="H41">
            <v>2</v>
          </cell>
          <cell r="I41">
            <v>1</v>
          </cell>
          <cell r="J41">
            <v>4</v>
          </cell>
          <cell r="K41">
            <v>14</v>
          </cell>
        </row>
        <row r="43">
          <cell r="B43">
            <v>1437</v>
          </cell>
          <cell r="C43">
            <v>3</v>
          </cell>
        </row>
        <row r="44">
          <cell r="B44">
            <v>412</v>
          </cell>
          <cell r="C44">
            <v>3</v>
          </cell>
        </row>
        <row r="45">
          <cell r="B45">
            <v>5</v>
          </cell>
          <cell r="C45">
            <v>2</v>
          </cell>
        </row>
        <row r="47">
          <cell r="B47">
            <v>117497</v>
          </cell>
          <cell r="C47">
            <v>4</v>
          </cell>
          <cell r="H47">
            <v>79</v>
          </cell>
          <cell r="I47">
            <v>64</v>
          </cell>
          <cell r="J47">
            <v>49</v>
          </cell>
          <cell r="K47">
            <v>150</v>
          </cell>
        </row>
        <row r="48">
          <cell r="B48">
            <v>20516</v>
          </cell>
          <cell r="C48">
            <v>13</v>
          </cell>
          <cell r="H48">
            <v>29</v>
          </cell>
          <cell r="I48">
            <v>2</v>
          </cell>
          <cell r="J48">
            <v>2</v>
          </cell>
          <cell r="K48">
            <v>1</v>
          </cell>
        </row>
        <row r="49">
          <cell r="B49">
            <v>348</v>
          </cell>
          <cell r="C49">
            <v>2</v>
          </cell>
          <cell r="H49">
            <v>5</v>
          </cell>
          <cell r="I49">
            <v>42</v>
          </cell>
          <cell r="J49">
            <v>496</v>
          </cell>
          <cell r="K49">
            <v>7</v>
          </cell>
        </row>
        <row r="50">
          <cell r="B50">
            <v>358</v>
          </cell>
          <cell r="C50">
            <v>6</v>
          </cell>
          <cell r="H50">
            <v>247</v>
          </cell>
          <cell r="I50">
            <v>108</v>
          </cell>
          <cell r="J50">
            <v>1071</v>
          </cell>
          <cell r="K50">
            <v>27</v>
          </cell>
        </row>
        <row r="51">
          <cell r="B51">
            <v>5570</v>
          </cell>
          <cell r="C51">
            <v>6</v>
          </cell>
          <cell r="I51">
            <v>2</v>
          </cell>
          <cell r="J51">
            <v>1</v>
          </cell>
          <cell r="K51">
            <v>1</v>
          </cell>
        </row>
        <row r="52">
          <cell r="B52">
            <v>54</v>
          </cell>
          <cell r="C52">
            <v>1</v>
          </cell>
        </row>
        <row r="54">
          <cell r="B54">
            <v>2</v>
          </cell>
          <cell r="C54">
            <v>1</v>
          </cell>
        </row>
        <row r="56">
          <cell r="B56">
            <v>14324</v>
          </cell>
          <cell r="C56">
            <v>11</v>
          </cell>
          <cell r="H56">
            <v>149</v>
          </cell>
          <cell r="I56">
            <v>39</v>
          </cell>
          <cell r="J56">
            <v>1806</v>
          </cell>
          <cell r="K56">
            <v>176</v>
          </cell>
        </row>
        <row r="58">
          <cell r="B58">
            <v>4433</v>
          </cell>
          <cell r="C58">
            <v>11</v>
          </cell>
        </row>
        <row r="60">
          <cell r="B60">
            <v>3</v>
          </cell>
          <cell r="C60">
            <v>1</v>
          </cell>
        </row>
        <row r="62">
          <cell r="B62">
            <v>3611</v>
          </cell>
          <cell r="C62">
            <v>15</v>
          </cell>
          <cell r="H62">
            <v>22</v>
          </cell>
          <cell r="I62">
            <v>62</v>
          </cell>
          <cell r="K62">
            <v>30</v>
          </cell>
        </row>
        <row r="63">
          <cell r="B63">
            <v>1221</v>
          </cell>
          <cell r="C63">
            <v>11</v>
          </cell>
          <cell r="H63">
            <v>64</v>
          </cell>
          <cell r="I63">
            <v>66</v>
          </cell>
          <cell r="K63">
            <v>48</v>
          </cell>
        </row>
        <row r="65">
          <cell r="B65">
            <v>386</v>
          </cell>
          <cell r="C65">
            <v>6</v>
          </cell>
          <cell r="H65">
            <v>21</v>
          </cell>
          <cell r="I65">
            <v>1</v>
          </cell>
          <cell r="K65">
            <v>2</v>
          </cell>
        </row>
        <row r="66">
          <cell r="B66">
            <v>42</v>
          </cell>
          <cell r="C66">
            <v>3</v>
          </cell>
          <cell r="H66">
            <v>2</v>
          </cell>
          <cell r="I66">
            <v>2</v>
          </cell>
          <cell r="K66">
            <v>1</v>
          </cell>
        </row>
        <row r="68">
          <cell r="B68">
            <v>935</v>
          </cell>
          <cell r="C68">
            <v>4</v>
          </cell>
          <cell r="H68">
            <v>1</v>
          </cell>
          <cell r="I68">
            <v>1</v>
          </cell>
        </row>
        <row r="69">
          <cell r="B69">
            <v>503</v>
          </cell>
          <cell r="C69">
            <v>2</v>
          </cell>
          <cell r="H69">
            <v>7</v>
          </cell>
          <cell r="I69">
            <v>10</v>
          </cell>
        </row>
        <row r="71">
          <cell r="B71">
            <v>203</v>
          </cell>
          <cell r="C71">
            <v>6</v>
          </cell>
          <cell r="H71">
            <v>1</v>
          </cell>
          <cell r="I71">
            <v>13</v>
          </cell>
        </row>
        <row r="72">
          <cell r="B72">
            <v>42</v>
          </cell>
          <cell r="C72">
            <v>2</v>
          </cell>
          <cell r="H72">
            <v>2</v>
          </cell>
          <cell r="I72">
            <v>3</v>
          </cell>
        </row>
        <row r="74">
          <cell r="B74">
            <v>8425</v>
          </cell>
          <cell r="C74">
            <v>2</v>
          </cell>
          <cell r="I74">
            <v>10</v>
          </cell>
          <cell r="J74">
            <v>687</v>
          </cell>
          <cell r="K74">
            <v>11</v>
          </cell>
        </row>
        <row r="75">
          <cell r="B75">
            <v>1647</v>
          </cell>
          <cell r="C75">
            <v>22</v>
          </cell>
        </row>
        <row r="77">
          <cell r="B77">
            <v>41</v>
          </cell>
          <cell r="C77">
            <v>2</v>
          </cell>
        </row>
        <row r="79">
          <cell r="B79">
            <v>481722</v>
          </cell>
          <cell r="C79">
            <v>13</v>
          </cell>
        </row>
        <row r="81">
          <cell r="B81">
            <v>20</v>
          </cell>
          <cell r="C81">
            <v>4</v>
          </cell>
          <cell r="H81">
            <v>1</v>
          </cell>
        </row>
        <row r="82">
          <cell r="B82">
            <v>4</v>
          </cell>
          <cell r="C82">
            <v>1</v>
          </cell>
          <cell r="H82">
            <v>1</v>
          </cell>
        </row>
        <row r="84">
          <cell r="B84">
            <v>1655074</v>
          </cell>
          <cell r="C84">
            <v>18</v>
          </cell>
          <cell r="H84">
            <v>53101</v>
          </cell>
          <cell r="I84">
            <v>588</v>
          </cell>
          <cell r="J84">
            <v>918</v>
          </cell>
          <cell r="K84">
            <v>1479</v>
          </cell>
        </row>
        <row r="85">
          <cell r="B85">
            <v>1180793</v>
          </cell>
          <cell r="C85">
            <v>18</v>
          </cell>
          <cell r="H85">
            <v>6499</v>
          </cell>
          <cell r="I85">
            <v>11452</v>
          </cell>
          <cell r="J85">
            <v>19971</v>
          </cell>
          <cell r="K85">
            <v>3060</v>
          </cell>
        </row>
        <row r="86">
          <cell r="B86">
            <v>214515</v>
          </cell>
          <cell r="C86">
            <v>11</v>
          </cell>
          <cell r="H86">
            <v>1403</v>
          </cell>
          <cell r="I86">
            <v>9629</v>
          </cell>
          <cell r="J86">
            <v>5341</v>
          </cell>
          <cell r="K86">
            <v>353</v>
          </cell>
        </row>
        <row r="88">
          <cell r="B88">
            <v>5776</v>
          </cell>
          <cell r="C88">
            <v>3</v>
          </cell>
          <cell r="H88">
            <v>22</v>
          </cell>
          <cell r="I88">
            <v>428</v>
          </cell>
        </row>
        <row r="90">
          <cell r="B90">
            <v>623</v>
          </cell>
          <cell r="C90">
            <v>5</v>
          </cell>
        </row>
        <row r="92">
          <cell r="B92">
            <v>2136</v>
          </cell>
          <cell r="C92">
            <v>1</v>
          </cell>
          <cell r="I92">
            <v>1</v>
          </cell>
          <cell r="J92">
            <v>181</v>
          </cell>
          <cell r="K92">
            <v>2</v>
          </cell>
        </row>
        <row r="94">
          <cell r="B94">
            <v>2628937</v>
          </cell>
          <cell r="C94">
            <v>8</v>
          </cell>
          <cell r="H94">
            <v>449661</v>
          </cell>
          <cell r="I94">
            <v>4008</v>
          </cell>
        </row>
        <row r="96">
          <cell r="B96">
            <v>20</v>
          </cell>
          <cell r="C96">
            <v>1</v>
          </cell>
        </row>
        <row r="98">
          <cell r="B98">
            <v>199</v>
          </cell>
          <cell r="C98">
            <v>2</v>
          </cell>
        </row>
        <row r="100">
          <cell r="B100">
            <v>94111</v>
          </cell>
          <cell r="C100">
            <v>3</v>
          </cell>
          <cell r="H100">
            <v>101</v>
          </cell>
          <cell r="I100">
            <v>33</v>
          </cell>
          <cell r="J100">
            <v>68</v>
          </cell>
          <cell r="K100">
            <v>112</v>
          </cell>
        </row>
        <row r="102">
          <cell r="B102">
            <v>301</v>
          </cell>
          <cell r="C102">
            <v>6</v>
          </cell>
          <cell r="H102">
            <v>8</v>
          </cell>
          <cell r="I102">
            <v>34</v>
          </cell>
          <cell r="J102">
            <v>6</v>
          </cell>
        </row>
        <row r="104">
          <cell r="B104">
            <v>353</v>
          </cell>
          <cell r="C104">
            <v>8</v>
          </cell>
        </row>
        <row r="106">
          <cell r="B106">
            <v>112157</v>
          </cell>
          <cell r="C106">
            <v>10</v>
          </cell>
          <cell r="H106">
            <v>201</v>
          </cell>
          <cell r="I106">
            <v>11</v>
          </cell>
          <cell r="J106">
            <v>294</v>
          </cell>
          <cell r="K106">
            <v>7006</v>
          </cell>
        </row>
        <row r="108">
          <cell r="B108">
            <v>3076605</v>
          </cell>
          <cell r="C108">
            <v>327</v>
          </cell>
          <cell r="H108">
            <v>53944</v>
          </cell>
          <cell r="I108">
            <v>34224</v>
          </cell>
          <cell r="J108">
            <v>20178</v>
          </cell>
          <cell r="K108">
            <v>805</v>
          </cell>
        </row>
        <row r="109">
          <cell r="B109">
            <v>141030</v>
          </cell>
          <cell r="C109">
            <v>181</v>
          </cell>
          <cell r="H109">
            <v>4328</v>
          </cell>
          <cell r="I109">
            <v>6312</v>
          </cell>
          <cell r="J109">
            <v>1936</v>
          </cell>
          <cell r="K109">
            <v>64</v>
          </cell>
        </row>
        <row r="111">
          <cell r="B111">
            <v>438</v>
          </cell>
          <cell r="C111">
            <v>2</v>
          </cell>
        </row>
        <row r="113">
          <cell r="B113">
            <v>50101</v>
          </cell>
          <cell r="C113">
            <v>16</v>
          </cell>
          <cell r="H113">
            <v>340</v>
          </cell>
          <cell r="I113">
            <v>162</v>
          </cell>
          <cell r="K113">
            <v>56</v>
          </cell>
        </row>
        <row r="114">
          <cell r="B114">
            <v>11190</v>
          </cell>
          <cell r="C114">
            <v>14</v>
          </cell>
          <cell r="H114">
            <v>162</v>
          </cell>
          <cell r="I114">
            <v>275</v>
          </cell>
          <cell r="K114">
            <v>6</v>
          </cell>
        </row>
        <row r="116">
          <cell r="B116">
            <v>71847</v>
          </cell>
          <cell r="C116">
            <v>12</v>
          </cell>
          <cell r="H116">
            <v>250</v>
          </cell>
          <cell r="I116">
            <v>48</v>
          </cell>
          <cell r="J116">
            <v>857</v>
          </cell>
          <cell r="K116">
            <v>43</v>
          </cell>
        </row>
        <row r="118">
          <cell r="B118">
            <v>57610</v>
          </cell>
          <cell r="C118">
            <v>18</v>
          </cell>
          <cell r="H118">
            <v>459</v>
          </cell>
          <cell r="I118">
            <v>1419</v>
          </cell>
          <cell r="K118">
            <v>94</v>
          </cell>
        </row>
        <row r="119">
          <cell r="B119">
            <v>68105</v>
          </cell>
          <cell r="C119">
            <v>11</v>
          </cell>
          <cell r="H119">
            <v>2004</v>
          </cell>
          <cell r="I119">
            <v>14805</v>
          </cell>
          <cell r="K119">
            <v>58</v>
          </cell>
        </row>
        <row r="121">
          <cell r="B121">
            <v>3933</v>
          </cell>
          <cell r="C121">
            <v>6</v>
          </cell>
          <cell r="H121">
            <v>673</v>
          </cell>
          <cell r="I121">
            <v>40</v>
          </cell>
        </row>
        <row r="123">
          <cell r="B123">
            <v>19991</v>
          </cell>
          <cell r="C123">
            <v>20</v>
          </cell>
          <cell r="H123">
            <v>234</v>
          </cell>
          <cell r="I123">
            <v>386</v>
          </cell>
          <cell r="J123">
            <v>24</v>
          </cell>
          <cell r="K123">
            <v>22</v>
          </cell>
        </row>
        <row r="125">
          <cell r="B125">
            <v>18674145</v>
          </cell>
          <cell r="C125">
            <v>17</v>
          </cell>
          <cell r="I125">
            <v>3250</v>
          </cell>
          <cell r="J125">
            <v>12597</v>
          </cell>
        </row>
        <row r="126">
          <cell r="B126">
            <v>724867</v>
          </cell>
          <cell r="C126">
            <v>15</v>
          </cell>
          <cell r="H126">
            <v>218</v>
          </cell>
          <cell r="I126">
            <v>10193</v>
          </cell>
        </row>
        <row r="128">
          <cell r="B128">
            <v>7198</v>
          </cell>
          <cell r="C128">
            <v>6</v>
          </cell>
        </row>
        <row r="129">
          <cell r="B129">
            <v>1473590</v>
          </cell>
          <cell r="C129">
            <v>17</v>
          </cell>
          <cell r="H129">
            <v>409</v>
          </cell>
          <cell r="I129">
            <v>4668</v>
          </cell>
          <cell r="J129">
            <v>474</v>
          </cell>
          <cell r="K129">
            <v>57</v>
          </cell>
        </row>
        <row r="131">
          <cell r="B131">
            <v>192716</v>
          </cell>
          <cell r="C131">
            <v>19</v>
          </cell>
          <cell r="H131">
            <v>10</v>
          </cell>
          <cell r="I131">
            <v>9990</v>
          </cell>
        </row>
        <row r="133">
          <cell r="B133">
            <v>217908</v>
          </cell>
          <cell r="C133">
            <v>15</v>
          </cell>
        </row>
        <row r="135">
          <cell r="B135">
            <v>1805</v>
          </cell>
          <cell r="C135">
            <v>8</v>
          </cell>
          <cell r="I135">
            <v>30</v>
          </cell>
        </row>
        <row r="136">
          <cell r="B136">
            <v>166</v>
          </cell>
          <cell r="C136">
            <v>3</v>
          </cell>
          <cell r="I136">
            <v>2</v>
          </cell>
        </row>
        <row r="138">
          <cell r="H138">
            <v>1691</v>
          </cell>
          <cell r="I138">
            <v>1524</v>
          </cell>
          <cell r="K138">
            <v>283</v>
          </cell>
        </row>
        <row r="139">
          <cell r="H139">
            <v>638</v>
          </cell>
          <cell r="I139">
            <v>3672</v>
          </cell>
          <cell r="K139">
            <v>48</v>
          </cell>
        </row>
        <row r="141">
          <cell r="B141">
            <v>388</v>
          </cell>
          <cell r="C141">
            <v>4</v>
          </cell>
          <cell r="I141">
            <v>1</v>
          </cell>
          <cell r="K141">
            <v>1</v>
          </cell>
        </row>
        <row r="142">
          <cell r="B142">
            <v>2353</v>
          </cell>
          <cell r="C142">
            <v>4</v>
          </cell>
          <cell r="I142">
            <v>215</v>
          </cell>
          <cell r="K142">
            <v>6</v>
          </cell>
        </row>
        <row r="144">
          <cell r="B144">
            <v>5</v>
          </cell>
          <cell r="C144">
            <v>2</v>
          </cell>
        </row>
        <row r="146">
          <cell r="B146">
            <v>561</v>
          </cell>
          <cell r="C146">
            <v>6</v>
          </cell>
          <cell r="H146">
            <v>8</v>
          </cell>
          <cell r="I146">
            <v>3</v>
          </cell>
        </row>
        <row r="148">
          <cell r="B148">
            <v>569030</v>
          </cell>
          <cell r="C148">
            <v>5</v>
          </cell>
          <cell r="J148">
            <v>2</v>
          </cell>
          <cell r="K148">
            <v>3398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9B48-CB09-40A1-B0C4-F887009BD37E}">
  <sheetPr>
    <tabColor theme="4" tint="-0.499984740745262"/>
    <pageSetUpPr fitToPage="1"/>
  </sheetPr>
  <dimension ref="B1"/>
  <sheetViews>
    <sheetView tabSelected="1" zoomScale="85" zoomScaleNormal="85" workbookViewId="0">
      <selection activeCell="B1" sqref="B1"/>
    </sheetView>
  </sheetViews>
  <sheetFormatPr defaultRowHeight="14.6" x14ac:dyDescent="0.4"/>
  <cols>
    <col min="1" max="1" width="8.15234375" customWidth="1"/>
    <col min="2" max="2" width="120.3046875" customWidth="1"/>
  </cols>
  <sheetData>
    <row r="1" spans="2:2" ht="409.5" customHeight="1" x14ac:dyDescent="0.4">
      <c r="B1" s="40" t="s">
        <v>149</v>
      </c>
    </row>
  </sheetData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B7314-FAF0-47B2-8C35-57B7E9452982}">
  <sheetPr>
    <tabColor theme="4" tint="-0.249977111117893"/>
    <pageSetUpPr fitToPage="1"/>
  </sheetPr>
  <dimension ref="A1:Y46"/>
  <sheetViews>
    <sheetView zoomScaleNormal="100" workbookViewId="0">
      <selection activeCell="K39" sqref="K39"/>
    </sheetView>
  </sheetViews>
  <sheetFormatPr defaultColWidth="9.15234375" defaultRowHeight="12" x14ac:dyDescent="0.35"/>
  <cols>
    <col min="1" max="1" width="18.15234375" style="2" customWidth="1"/>
    <col min="2" max="3" width="9.3046875" style="2" customWidth="1"/>
    <col min="4" max="4" width="2" style="17" customWidth="1"/>
    <col min="5" max="5" width="18.15234375" style="2" customWidth="1"/>
    <col min="6" max="9" width="6.69140625" style="2" customWidth="1"/>
    <col min="10" max="12" width="16.15234375" style="2" customWidth="1"/>
    <col min="13" max="16384" width="9.15234375" style="2"/>
  </cols>
  <sheetData>
    <row r="1" spans="1:25" s="11" customFormat="1" ht="32.25" customHeight="1" x14ac:dyDescent="0.4">
      <c r="A1" s="16" t="s">
        <v>133</v>
      </c>
      <c r="B1" s="16"/>
      <c r="C1" s="16"/>
      <c r="D1" s="51"/>
      <c r="E1" s="62" t="s">
        <v>111</v>
      </c>
      <c r="F1" s="62"/>
      <c r="G1" s="62"/>
      <c r="H1" s="62"/>
      <c r="I1" s="16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6.3" x14ac:dyDescent="0.35">
      <c r="A2" s="18" t="s">
        <v>34</v>
      </c>
      <c r="B2" s="4" t="s">
        <v>0</v>
      </c>
      <c r="C2" s="12" t="s">
        <v>1</v>
      </c>
      <c r="D2" s="52"/>
      <c r="E2" s="19" t="s">
        <v>132</v>
      </c>
      <c r="F2" s="13" t="s">
        <v>112</v>
      </c>
      <c r="G2" s="13" t="s">
        <v>113</v>
      </c>
      <c r="H2" s="13" t="s">
        <v>114</v>
      </c>
      <c r="I2" s="14" t="s">
        <v>115</v>
      </c>
    </row>
    <row r="3" spans="1:25" x14ac:dyDescent="0.35">
      <c r="A3" s="15" t="s">
        <v>3</v>
      </c>
      <c r="B3" s="53">
        <f>GETPIVOTDATA("[Measures].[Sum of Transaction Count]",'[1]SBR1 D&amp;E'!$A$3,"[Range].[Service Name]","[Range].[Service Name].&amp;[ctr]","[Range].[Action Name]","[Range].[Action Name].&amp;[lodge]")</f>
        <v>34</v>
      </c>
      <c r="C3" s="44">
        <f>GETPIVOTDATA("[Measures].[Distinct Count of DSPName]",'[1]SBR1 D&amp;E'!$A$3,"[Range].[Service Name]","[Range].[Service Name].&amp;[ctr]","[Range].[Action Name]","[Range].[Action Name].&amp;[lodge]")</f>
        <v>2</v>
      </c>
      <c r="D3" s="52"/>
      <c r="E3" s="15" t="s">
        <v>3</v>
      </c>
      <c r="G3" s="2">
        <v>6</v>
      </c>
      <c r="H3" s="54"/>
      <c r="I3" s="42"/>
      <c r="M3" s="1"/>
    </row>
    <row r="4" spans="1:25" x14ac:dyDescent="0.35">
      <c r="A4" s="6" t="s">
        <v>4</v>
      </c>
      <c r="B4" s="53">
        <f>GETPIVOTDATA("[Measures].[Sum of Transaction Count]",'[1]SBR1 D&amp;E'!$A$3,"[Range].[Service Name]","[Range].[Service Name].&amp;[ctr]","[Range].[Action Name]","[Range].[Action Name].&amp;[prelodge]")</f>
        <v>212</v>
      </c>
      <c r="C4" s="44">
        <f>GETPIVOTDATA("[Measures].[Distinct Count of DSPName]",'[1]SBR1 D&amp;E'!$A$3,"[Range].[Service Name]","[Range].[Service Name].&amp;[ctr]","[Range].[Action Name]","[Range].[Action Name].&amp;[prelodge]")</f>
        <v>1</v>
      </c>
      <c r="D4" s="52"/>
      <c r="E4" s="6" t="s">
        <v>4</v>
      </c>
      <c r="F4" s="43">
        <v>5</v>
      </c>
      <c r="G4" s="43">
        <v>82</v>
      </c>
      <c r="H4" s="53"/>
      <c r="I4" s="44"/>
    </row>
    <row r="5" spans="1:25" x14ac:dyDescent="0.35">
      <c r="A5" s="6" t="s">
        <v>22</v>
      </c>
      <c r="B5" s="53">
        <f>GETPIVOTDATA("[Measures].[Sum of Transaction Count]",'[1]SBR1 D&amp;E'!$A$3,"[Range].[Service Name]","[Range].[Service Name].&amp;[smsfar]","[Range].[Action Name]","[Range].[Action Name].&amp;[lodge]")</f>
        <v>45</v>
      </c>
      <c r="C5" s="44">
        <f>GETPIVOTDATA("[Measures].[Distinct Count of DSPName]",'[1]SBR1 D&amp;E'!$A$3,"[Range].[Service Name]","[Range].[Service Name].&amp;[smsfar]","[Range].[Action Name]","[Range].[Action Name].&amp;[lodge]")</f>
        <v>3</v>
      </c>
      <c r="D5" s="52"/>
      <c r="E5" s="6" t="s">
        <v>116</v>
      </c>
      <c r="F5" s="43"/>
      <c r="G5" s="43">
        <v>9</v>
      </c>
      <c r="H5" s="53"/>
      <c r="I5" s="44"/>
    </row>
    <row r="6" spans="1:25" ht="15.75" customHeight="1" x14ac:dyDescent="0.35">
      <c r="A6" s="6" t="s">
        <v>23</v>
      </c>
      <c r="B6" s="53">
        <f>GETPIVOTDATA("[Measures].[Sum of Transaction Count]",'[1]SBR1 D&amp;E'!$A$3,"[Range].[Service Name]","[Range].[Service Name].&amp;[smsfar]","[Range].[Action Name]","[Range].[Action Name].&amp;[prelodge]")</f>
        <v>319</v>
      </c>
      <c r="C6" s="44">
        <f>GETPIVOTDATA("[Measures].[Distinct Count of DSPName]",'[1]SBR1 D&amp;E'!$A$3,"[Range].[Service Name]","[Range].[Service Name].&amp;[smsfar]","[Range].[Action Name]","[Range].[Action Name].&amp;[prelodge]")</f>
        <v>2</v>
      </c>
      <c r="D6" s="52"/>
      <c r="E6" s="6" t="s">
        <v>23</v>
      </c>
      <c r="F6" s="43">
        <v>39</v>
      </c>
      <c r="G6" s="43">
        <v>87</v>
      </c>
      <c r="H6" s="53"/>
      <c r="I6" s="44"/>
    </row>
    <row r="7" spans="1:25" x14ac:dyDescent="0.35">
      <c r="A7" s="6" t="s">
        <v>26</v>
      </c>
      <c r="B7" s="53">
        <f>GETPIVOTDATA("[Measures].[Sum of Transaction Count]",'[1]SBR1 D&amp;E'!$A$3,"[Range].[Service Name]","[Range].[Service Name].&amp;[trt]","[Range].[Action Name]","[Range].[Action Name].&amp;[lodge]")</f>
        <v>12</v>
      </c>
      <c r="C7" s="44">
        <f>GETPIVOTDATA("[Measures].[Distinct Count of DSPName]",'[1]SBR1 D&amp;E'!$A$3,"[Range].[Service Name]","[Range].[Service Name].&amp;[trt]","[Range].[Action Name]","[Range].[Action Name].&amp;[lodge]")</f>
        <v>1</v>
      </c>
      <c r="D7" s="52"/>
      <c r="E7" s="7" t="s">
        <v>27</v>
      </c>
      <c r="F7" s="55">
        <v>6</v>
      </c>
      <c r="G7" s="55">
        <v>84</v>
      </c>
      <c r="H7" s="55"/>
      <c r="I7" s="46"/>
    </row>
    <row r="8" spans="1:25" x14ac:dyDescent="0.35">
      <c r="A8" s="7" t="s">
        <v>27</v>
      </c>
      <c r="B8" s="45">
        <f>GETPIVOTDATA("[Measures].[Sum of Transaction Count]",'[1]SBR1 D&amp;E'!$A$3,"[Range].[Service Name]","[Range].[Service Name].&amp;[trt]","[Range].[Action Name]","[Range].[Action Name].&amp;[prelodge]")</f>
        <v>144</v>
      </c>
      <c r="C8" s="46">
        <f>GETPIVOTDATA("[Measures].[Distinct Count of DSPName]",'[1]SBR1 D&amp;E'!$A$3,"[Range].[Service Name]","[Range].[Service Name].&amp;[trt]","[Range].[Action Name]","[Range].[Action Name].&amp;[prelodge]")</f>
        <v>2</v>
      </c>
      <c r="D8" s="52"/>
    </row>
    <row r="9" spans="1:25" x14ac:dyDescent="0.35">
      <c r="D9" s="2"/>
    </row>
    <row r="10" spans="1:25" ht="16.3" x14ac:dyDescent="0.35">
      <c r="A10" s="19" t="s">
        <v>47</v>
      </c>
      <c r="B10" s="13" t="s">
        <v>0</v>
      </c>
      <c r="C10" s="14" t="s">
        <v>1</v>
      </c>
      <c r="D10" s="2"/>
      <c r="E10" s="19" t="s">
        <v>130</v>
      </c>
      <c r="F10" s="13" t="s">
        <v>112</v>
      </c>
      <c r="G10" s="13" t="s">
        <v>117</v>
      </c>
      <c r="H10" s="13" t="s">
        <v>114</v>
      </c>
      <c r="I10" s="14" t="s">
        <v>115</v>
      </c>
    </row>
    <row r="11" spans="1:25" x14ac:dyDescent="0.35">
      <c r="A11" s="15" t="s">
        <v>48</v>
      </c>
      <c r="B11" s="54">
        <f>GETPIVOTDATA("[Measures].[Sum of Transaction Count]",'[1]SBR1 D&amp;E'!$A$3,"[Range].[Service Name]","[Range].[Service Name].&amp;[abnreg]","[Range].[Action Name]","[Range].[Action Name].&amp;[lodge]")</f>
        <v>22758</v>
      </c>
      <c r="C11" s="42">
        <f>GETPIVOTDATA("[Measures].[Distinct Count of DSPName]",'[1]SBR1 D&amp;E'!$A$3,"[Range].[Service Name]","[Range].[Service Name].&amp;[abnreg]","[Range].[Action Name]","[Range].[Action Name].&amp;[lodge]")</f>
        <v>7</v>
      </c>
      <c r="D11" s="2"/>
      <c r="E11" s="6" t="s">
        <v>48</v>
      </c>
      <c r="F11" s="43"/>
      <c r="G11" s="54">
        <v>17</v>
      </c>
      <c r="H11" s="54">
        <v>3821</v>
      </c>
      <c r="I11" s="42">
        <v>7</v>
      </c>
    </row>
    <row r="12" spans="1:25" x14ac:dyDescent="0.35">
      <c r="A12" s="6" t="s">
        <v>49</v>
      </c>
      <c r="B12" s="53">
        <f>GETPIVOTDATA("[Measures].[Sum of Transaction Count]",'[1]SBR1 D&amp;E'!$A$3,"[Range].[Service Name]","[Range].[Service Name].&amp;[abnregdtl]","[Range].[Action Name]","[Range].[Action Name].&amp;[prefill]")</f>
        <v>431</v>
      </c>
      <c r="C12" s="44">
        <f>GETPIVOTDATA("[Measures].[Distinct Count of DSPName]",'[1]SBR1 D&amp;E'!$A$3,"[Range].[Service Name]","[Range].[Service Name].&amp;[abnregdtl]","[Range].[Action Name]","[Range].[Action Name].&amp;[prefill]")</f>
        <v>2</v>
      </c>
      <c r="D12" s="52"/>
      <c r="E12" s="6" t="s">
        <v>49</v>
      </c>
      <c r="F12" s="43">
        <v>5</v>
      </c>
      <c r="G12" s="53">
        <v>1</v>
      </c>
      <c r="H12" s="53">
        <v>9</v>
      </c>
      <c r="I12" s="44"/>
    </row>
    <row r="13" spans="1:25" x14ac:dyDescent="0.35">
      <c r="A13" s="6" t="s">
        <v>50</v>
      </c>
      <c r="B13" s="53">
        <f>GETPIVOTDATA("[Measures].[Sum of Transaction Count]",'[1]SBR1 D&amp;E'!$A$3,"[Range].[Service Name]","[Range].[Service Name].&amp;[abnregent]","[Range].[Action Name]","[Range].[Action Name].&amp;[prefill]")</f>
        <v>2862</v>
      </c>
      <c r="C13" s="44">
        <f>GETPIVOTDATA("[Measures].[Distinct Count of DSPName]",'[1]SBR1 D&amp;E'!$A$3,"[Range].[Service Name]","[Range].[Service Name].&amp;[abnregent]","[Range].[Action Name]","[Range].[Action Name].&amp;[prefill]")</f>
        <v>3</v>
      </c>
      <c r="D13" s="52"/>
      <c r="E13" s="6" t="s">
        <v>50</v>
      </c>
      <c r="F13" s="43"/>
      <c r="G13" s="53"/>
      <c r="H13" s="53"/>
      <c r="I13" s="44">
        <v>64</v>
      </c>
    </row>
    <row r="14" spans="1:25" x14ac:dyDescent="0.35">
      <c r="A14" s="6" t="s">
        <v>110</v>
      </c>
      <c r="B14" s="53">
        <f>GETPIVOTDATA("[Measures].[Sum of Transaction Count]",'[1]SBR1 D&amp;E'!$A$3,"[Range].[Service Name]","[Range].[Service Name].&amp;[abnreghlp]","[Range].[Action Name]","[Range].[Action Name].&amp;[prefill]")</f>
        <v>1767</v>
      </c>
      <c r="C14" s="44">
        <f>GETPIVOTDATA("[Measures].[Distinct Count of DSPName]",'[1]SBR1 D&amp;E'!$A$3,"[Range].[Service Name]","[Range].[Service Name].&amp;[abnreghlp]","[Range].[Action Name]","[Range].[Action Name].&amp;[prefill]")</f>
        <v>1</v>
      </c>
      <c r="D14" s="52"/>
      <c r="E14" s="6" t="s">
        <v>110</v>
      </c>
      <c r="F14" s="43"/>
      <c r="G14" s="53"/>
      <c r="H14" s="53">
        <v>90</v>
      </c>
      <c r="I14" s="44">
        <v>57</v>
      </c>
    </row>
    <row r="15" spans="1:25" ht="12" customHeight="1" x14ac:dyDescent="0.35">
      <c r="A15" s="6" t="s">
        <v>51</v>
      </c>
      <c r="B15" s="53">
        <f>GETPIVOTDATA("[Measures].[Sum of Transaction Count]",'[1]SBR1 D&amp;E'!$A$3,"[Range].[Service Name]","[Range].[Service Name].&amp;[abnregpoi]","[Range].[Action Name]","[Range].[Action Name].&amp;[prelodge]")</f>
        <v>19464</v>
      </c>
      <c r="C15" s="44">
        <f>GETPIVOTDATA("[Measures].[Distinct Count of DSPName]",'[1]SBR1 D&amp;E'!$A$3,"[Range].[Service Name]","[Range].[Service Name].&amp;[abnregpoi]","[Range].[Action Name]","[Range].[Action Name].&amp;[prelodge]")</f>
        <v>1</v>
      </c>
      <c r="D15" s="52"/>
      <c r="E15" s="6" t="s">
        <v>51</v>
      </c>
      <c r="F15" s="43"/>
      <c r="G15" s="53">
        <v>18</v>
      </c>
      <c r="H15" s="53">
        <v>1247</v>
      </c>
      <c r="I15" s="44">
        <v>1</v>
      </c>
    </row>
    <row r="16" spans="1:25" x14ac:dyDescent="0.35">
      <c r="A16" s="6" t="s">
        <v>52</v>
      </c>
      <c r="B16" s="53">
        <f>GETPIVOTDATA("[Measures].[Sum of Transaction Count]",'[1]SBR1 D&amp;E'!$A$3,"[Range].[Service Name]","[Range].[Service Name].&amp;[abnregsts]","[Range].[Action Name]","[Range].[Action Name].&amp;[prefill]")</f>
        <v>222099</v>
      </c>
      <c r="C16" s="44">
        <f>GETPIVOTDATA("[Measures].[Distinct Count of DSPName]",'[1]SBR1 D&amp;E'!$A$3,"[Range].[Service Name]","[Range].[Service Name].&amp;[abnregsts]","[Range].[Action Name]","[Range].[Action Name].&amp;[prefill]")</f>
        <v>4</v>
      </c>
      <c r="D16" s="52"/>
      <c r="E16" s="6" t="s">
        <v>52</v>
      </c>
      <c r="F16" s="43"/>
      <c r="G16" s="53">
        <v>67</v>
      </c>
      <c r="H16" s="53">
        <v>6427</v>
      </c>
      <c r="I16" s="44">
        <v>767</v>
      </c>
      <c r="J16" s="3"/>
    </row>
    <row r="17" spans="1:15" x14ac:dyDescent="0.35">
      <c r="A17" s="7" t="s">
        <v>53</v>
      </c>
      <c r="B17" s="55">
        <f>GETPIVOTDATA("[Measures].[Sum of Transaction Count]",'[1]SBR1 D&amp;E'!$A$3,"[Range].[Service Name]","[Range].[Service Name].&amp;[abnregtaxadd]","[Range].[Action Name]","[Range].[Action Name].&amp;[lodge]")</f>
        <v>423</v>
      </c>
      <c r="C17" s="46">
        <f>GETPIVOTDATA("[Measures].[Distinct Count of DSPName]",'[1]SBR1 D&amp;E'!$A$3,"[Range].[Service Name]","[Range].[Service Name].&amp;[abnregtaxadd]","[Range].[Action Name]","[Range].[Action Name].&amp;[lodge]")</f>
        <v>1</v>
      </c>
      <c r="D17" s="52"/>
      <c r="E17" s="7" t="s">
        <v>53</v>
      </c>
      <c r="F17" s="55"/>
      <c r="G17" s="55">
        <v>6</v>
      </c>
      <c r="H17" s="55">
        <v>189</v>
      </c>
      <c r="I17" s="46">
        <v>1</v>
      </c>
      <c r="J17" s="3"/>
    </row>
    <row r="18" spans="1:15" x14ac:dyDescent="0.35">
      <c r="D18" s="52"/>
    </row>
    <row r="19" spans="1:15" ht="16.3" x14ac:dyDescent="0.35">
      <c r="A19" s="19" t="s">
        <v>64</v>
      </c>
      <c r="B19" s="13" t="s">
        <v>0</v>
      </c>
      <c r="C19" s="14" t="s">
        <v>1</v>
      </c>
      <c r="D19" s="52"/>
      <c r="E19" s="19" t="s">
        <v>131</v>
      </c>
      <c r="F19" s="13" t="s">
        <v>112</v>
      </c>
      <c r="G19" s="13" t="s">
        <v>117</v>
      </c>
      <c r="H19" s="13" t="s">
        <v>114</v>
      </c>
      <c r="I19" s="14" t="s">
        <v>115</v>
      </c>
    </row>
    <row r="20" spans="1:15" x14ac:dyDescent="0.35">
      <c r="A20" s="6" t="s">
        <v>54</v>
      </c>
      <c r="B20" s="43">
        <f>GETPIVOTDATA("[Measures].[Sum of Transaction Count]",'[1]SBR1 D&amp;E'!$A$3,"[Range].[Service Name]","[Range].[Service Name].&amp;[ps]","[Range].[Action Name]","[Range].[Action Name].&amp;[lodge]")</f>
        <v>792</v>
      </c>
      <c r="C20" s="44">
        <f>GETPIVOTDATA("[Measures].[Distinct Count of DSPName]",'[1]SBR1 D&amp;E'!$A$3,"[Range].[Service Name]","[Range].[Service Name].&amp;[ps]","[Range].[Action Name]","[Range].[Action Name].&amp;[lodge]")</f>
        <v>8</v>
      </c>
      <c r="D20" s="52"/>
      <c r="E20" s="6" t="s">
        <v>54</v>
      </c>
      <c r="F20" s="54"/>
      <c r="G20" s="54">
        <v>25</v>
      </c>
      <c r="H20" s="54"/>
      <c r="I20" s="42">
        <v>1</v>
      </c>
    </row>
    <row r="21" spans="1:15" x14ac:dyDescent="0.35">
      <c r="A21" s="6" t="s">
        <v>55</v>
      </c>
      <c r="B21" s="43">
        <f>GETPIVOTDATA("[Measures].[Sum of Transaction Count]",'[1]SBR1 D&amp;E'!$A$3,"[Range].[Service Name]","[Range].[Service Name].&amp;[ps]","[Range].[Action Name]","[Range].[Action Name].&amp;[prelodge]")</f>
        <v>302</v>
      </c>
      <c r="C21" s="44">
        <f>GETPIVOTDATA("[Measures].[Distinct Count of DSPName]",'[1]SBR1 D&amp;E'!$A$3,"[Range].[Service Name]","[Range].[Service Name].&amp;[ps]","[Range].[Action Name]","[Range].[Action Name].&amp;[prelodge]")</f>
        <v>5</v>
      </c>
      <c r="D21" s="52"/>
      <c r="E21" s="6" t="s">
        <v>55</v>
      </c>
      <c r="F21" s="53"/>
      <c r="G21" s="53">
        <v>16</v>
      </c>
      <c r="H21" s="53"/>
      <c r="I21" s="44"/>
    </row>
    <row r="22" spans="1:15" x14ac:dyDescent="0.35">
      <c r="A22" s="6" t="s">
        <v>58</v>
      </c>
      <c r="B22" s="43">
        <f>GETPIVOTDATA("[Measures].[Sum of Transaction Count]",'[1]SBR1 D&amp;E'!$A$3,"[Range].[Service Name]","[Range].[Service Name].&amp;[tfnd]","[Range].[Action Name]","[Range].[Action Name].&amp;[lodge]")</f>
        <v>9223</v>
      </c>
      <c r="C22" s="44">
        <f>GETPIVOTDATA("[Measures].[Distinct Count of DSPName]",'[1]SBR1 D&amp;E'!$A$3,"[Range].[Service Name]","[Range].[Service Name].&amp;[tfnd]","[Range].[Action Name]","[Range].[Action Name].&amp;[lodge]")</f>
        <v>6</v>
      </c>
      <c r="D22" s="52"/>
      <c r="E22" s="6" t="s">
        <v>58</v>
      </c>
      <c r="F22" s="53"/>
      <c r="G22" s="53">
        <v>56</v>
      </c>
      <c r="H22" s="53"/>
      <c r="I22" s="44">
        <v>2</v>
      </c>
    </row>
    <row r="23" spans="1:15" x14ac:dyDescent="0.35">
      <c r="A23" s="6" t="s">
        <v>59</v>
      </c>
      <c r="B23" s="43">
        <f>GETPIVOTDATA("[Measures].[Sum of Transaction Count]",'[1]SBR1 D&amp;E'!$A$3,"[Range].[Service Name]","[Range].[Service Name].&amp;[tfnd]","[Range].[Action Name]","[Range].[Action Name].&amp;[prelodge]")</f>
        <v>8156</v>
      </c>
      <c r="C23" s="44">
        <f>GETPIVOTDATA("[Measures].[Distinct Count of DSPName]",'[1]SBR1 D&amp;E'!$A$3,"[Range].[Service Name]","[Range].[Service Name].&amp;[tfnd]","[Range].[Action Name]","[Range].[Action Name].&amp;[prelodge]")</f>
        <v>4</v>
      </c>
      <c r="D23" s="2"/>
      <c r="E23" s="6" t="s">
        <v>59</v>
      </c>
      <c r="F23" s="53"/>
      <c r="G23" s="53">
        <v>95</v>
      </c>
      <c r="H23" s="53"/>
      <c r="I23" s="44"/>
    </row>
    <row r="24" spans="1:15" x14ac:dyDescent="0.35">
      <c r="A24" s="7" t="s">
        <v>61</v>
      </c>
      <c r="B24" s="45">
        <f>GETPIVOTDATA("[Measures].[Sum of Transaction Count]",'[1]SBR1 D&amp;E'!$A$3,"[Range].[Service Name]","[Range].[Service Name].&amp;[tpar]","[Range].[Action Name]","[Range].[Action Name].&amp;[lodge]")</f>
        <v>2</v>
      </c>
      <c r="C24" s="46">
        <f>GETPIVOTDATA("[Measures].[Distinct Count of DSPName]",'[1]SBR1 D&amp;E'!$A$3,"[Range].[Service Name]","[Range].[Service Name].&amp;[tpar]","[Range].[Action Name]","[Range].[Action Name].&amp;[lodge]")</f>
        <v>1</v>
      </c>
      <c r="D24" s="2"/>
      <c r="E24" s="7" t="s">
        <v>61</v>
      </c>
      <c r="F24" s="55"/>
      <c r="G24" s="55">
        <v>2</v>
      </c>
      <c r="H24" s="55"/>
      <c r="I24" s="46"/>
    </row>
    <row r="25" spans="1:15" x14ac:dyDescent="0.35">
      <c r="D25" s="2"/>
      <c r="I25" s="53"/>
    </row>
    <row r="26" spans="1:15" ht="16.3" x14ac:dyDescent="0.35">
      <c r="A26" s="19" t="s">
        <v>128</v>
      </c>
      <c r="B26" s="13" t="s">
        <v>0</v>
      </c>
      <c r="C26" s="14" t="s">
        <v>1</v>
      </c>
      <c r="D26" s="2"/>
      <c r="E26" s="19" t="s">
        <v>138</v>
      </c>
      <c r="F26" s="13" t="s">
        <v>112</v>
      </c>
      <c r="G26" s="13" t="s">
        <v>117</v>
      </c>
      <c r="H26" s="13" t="s">
        <v>114</v>
      </c>
      <c r="I26" s="14" t="s">
        <v>115</v>
      </c>
    </row>
    <row r="27" spans="1:15" x14ac:dyDescent="0.35">
      <c r="A27" s="21" t="s">
        <v>66</v>
      </c>
      <c r="B27" s="43">
        <f>GETPIVOTDATA("[Measures].[Sum of Transaction Count]",'[1]SBR1 D&amp;E'!$A$3,"[Range].[Service Name]","[Range].[Service Name].&amp;[as]","[Range].[Action Name]","[Range].[Action Name].&amp;[list]")</f>
        <v>1995056</v>
      </c>
      <c r="C27" s="44">
        <f>GETPIVOTDATA("[Measures].[Distinct Count of DSPName]",'[1]SBR1 D&amp;E'!$A$3,"[Range].[Service Name]","[Range].[Service Name].&amp;[as]","[Range].[Action Name]","[Range].[Action Name].&amp;[list]")</f>
        <v>15</v>
      </c>
      <c r="D27" s="2"/>
      <c r="E27" s="6" t="s">
        <v>66</v>
      </c>
      <c r="F27" s="54">
        <v>27092</v>
      </c>
      <c r="G27" s="54">
        <v>1662</v>
      </c>
      <c r="H27" s="54">
        <v>1163982</v>
      </c>
      <c r="I27" s="44">
        <v>19</v>
      </c>
    </row>
    <row r="28" spans="1:15" x14ac:dyDescent="0.35">
      <c r="A28" s="21" t="s">
        <v>67</v>
      </c>
      <c r="B28" s="43">
        <f>GETPIVOTDATA("[Measures].[Sum of Transaction Count]",'[1]SBR1 D&amp;E'!$A$3,"[Range].[Service Name]","[Range].[Service Name].&amp;[as]","[Range].[Action Name]","[Range].[Action Name].&amp;[lodge]")</f>
        <v>65496</v>
      </c>
      <c r="C28" s="44">
        <f>GETPIVOTDATA("[Measures].[Distinct Count of DSPName]",'[1]SBR1 D&amp;E'!$A$3,"[Range].[Service Name]","[Range].[Service Name].&amp;[as]","[Range].[Action Name]","[Range].[Action Name].&amp;[lodge]")</f>
        <v>14</v>
      </c>
      <c r="D28" s="2"/>
      <c r="E28" s="6" t="s">
        <v>67</v>
      </c>
      <c r="F28" s="53">
        <v>62</v>
      </c>
      <c r="G28" s="53">
        <v>374</v>
      </c>
      <c r="H28" s="53">
        <v>1722</v>
      </c>
      <c r="I28" s="44"/>
      <c r="O28" s="3"/>
    </row>
    <row r="29" spans="1:15" x14ac:dyDescent="0.35">
      <c r="A29" s="21" t="s">
        <v>65</v>
      </c>
      <c r="B29" s="43">
        <f>GETPIVOTDATA("[Measures].[Sum of Transaction Count]",'[1]SBR1 D&amp;E'!$A$3,"[Range].[Service Name]","[Range].[Service Name].&amp;[as]","[Range].[Action Name]","[Range].[Action Name].&amp;[prefill]")</f>
        <v>808201</v>
      </c>
      <c r="C29" s="44">
        <f>GETPIVOTDATA("[Measures].[Distinct Count of DSPName]",'[1]SBR1 D&amp;E'!$A$3,"[Range].[Service Name]","[Range].[Service Name].&amp;[as]","[Range].[Action Name]","[Range].[Action Name].&amp;[prefill]")</f>
        <v>15</v>
      </c>
      <c r="D29" s="2"/>
      <c r="E29" s="6" t="s">
        <v>65</v>
      </c>
      <c r="F29" s="53">
        <v>13418</v>
      </c>
      <c r="G29" s="53">
        <v>3545</v>
      </c>
      <c r="H29" s="53"/>
      <c r="I29" s="44">
        <v>4</v>
      </c>
      <c r="O29" s="3"/>
    </row>
    <row r="30" spans="1:15" x14ac:dyDescent="0.35">
      <c r="A30" s="22" t="s">
        <v>68</v>
      </c>
      <c r="B30" s="45">
        <f>GETPIVOTDATA("[Measures].[Sum of Transaction Count]",'[1]SBR1 D&amp;E'!$A$3,"[Range].[Service Name]","[Range].[Service Name].&amp;[as]","[Range].[Action Name]","[Range].[Action Name].&amp;[prelodge]")</f>
        <v>87460</v>
      </c>
      <c r="C30" s="46">
        <f>GETPIVOTDATA("[Measures].[Distinct Count of DSPName]",'[1]SBR1 D&amp;E'!$A$3,"[Range].[Service Name]","[Range].[Service Name].&amp;[as]","[Range].[Action Name]","[Range].[Action Name].&amp;[prelodge]")</f>
        <v>8</v>
      </c>
      <c r="D30" s="2"/>
      <c r="E30" s="7" t="s">
        <v>68</v>
      </c>
      <c r="F30" s="55">
        <v>132</v>
      </c>
      <c r="G30" s="55">
        <v>101</v>
      </c>
      <c r="H30" s="55">
        <v>6578</v>
      </c>
      <c r="I30" s="46">
        <v>1</v>
      </c>
    </row>
    <row r="33" spans="1:10" ht="12" customHeight="1" x14ac:dyDescent="0.35">
      <c r="A33" s="63" t="s">
        <v>150</v>
      </c>
      <c r="B33" s="64"/>
      <c r="C33" s="65"/>
      <c r="E33" s="63" t="s">
        <v>151</v>
      </c>
      <c r="F33" s="64"/>
      <c r="G33" s="64"/>
      <c r="H33" s="64"/>
      <c r="I33" s="65"/>
    </row>
    <row r="34" spans="1:10" ht="12" customHeight="1" x14ac:dyDescent="0.35">
      <c r="A34" s="66"/>
      <c r="B34" s="67"/>
      <c r="C34" s="68"/>
      <c r="E34" s="66"/>
      <c r="F34" s="67"/>
      <c r="G34" s="67"/>
      <c r="H34" s="67"/>
      <c r="I34" s="68"/>
    </row>
    <row r="35" spans="1:10" ht="111" customHeight="1" x14ac:dyDescent="0.35">
      <c r="A35" s="69"/>
      <c r="B35" s="70"/>
      <c r="C35" s="71"/>
      <c r="E35" s="69"/>
      <c r="F35" s="70"/>
      <c r="G35" s="70"/>
      <c r="H35" s="70"/>
      <c r="I35" s="71"/>
      <c r="J35" s="9"/>
    </row>
    <row r="36" spans="1:10" x14ac:dyDescent="0.35">
      <c r="E36" s="9"/>
      <c r="F36" s="9"/>
      <c r="G36" s="9"/>
      <c r="H36" s="9"/>
      <c r="I36" s="9"/>
      <c r="J36" s="9"/>
    </row>
    <row r="37" spans="1:10" x14ac:dyDescent="0.35">
      <c r="J37" s="9"/>
    </row>
    <row r="38" spans="1:10" x14ac:dyDescent="0.35">
      <c r="J38" s="9"/>
    </row>
    <row r="46" spans="1:10" ht="21.75" customHeight="1" x14ac:dyDescent="0.35"/>
  </sheetData>
  <mergeCells count="3">
    <mergeCell ref="E1:H1"/>
    <mergeCell ref="A33:C35"/>
    <mergeCell ref="E33:I3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D3982-DD1A-40CF-BFEE-BA0146685DCF}">
  <sheetPr>
    <tabColor theme="4" tint="-0.249977111117893"/>
    <pageSetUpPr fitToPage="1"/>
  </sheetPr>
  <dimension ref="A1:G63"/>
  <sheetViews>
    <sheetView zoomScaleNormal="100" workbookViewId="0">
      <selection activeCell="I59" sqref="I59"/>
    </sheetView>
  </sheetViews>
  <sheetFormatPr defaultColWidth="9.15234375" defaultRowHeight="12" x14ac:dyDescent="0.35"/>
  <cols>
    <col min="1" max="1" width="21" style="2" bestFit="1" customWidth="1"/>
    <col min="2" max="3" width="9.3046875" style="2" customWidth="1"/>
    <col min="4" max="4" width="3.84375" style="2" customWidth="1"/>
    <col min="5" max="5" width="21" style="2" customWidth="1"/>
    <col min="6" max="7" width="9.3046875" style="2" customWidth="1"/>
    <col min="8" max="8" width="6.3046875" style="2" customWidth="1"/>
    <col min="9" max="9" width="23.3046875" style="2" customWidth="1"/>
    <col min="10" max="16384" width="9.15234375" style="2"/>
  </cols>
  <sheetData>
    <row r="1" spans="1:7" ht="34.75" x14ac:dyDescent="0.35">
      <c r="A1" s="72" t="s">
        <v>129</v>
      </c>
      <c r="B1" s="73"/>
      <c r="C1" s="73"/>
      <c r="D1" s="73"/>
      <c r="E1" s="73"/>
      <c r="F1" s="73"/>
      <c r="G1" s="73"/>
    </row>
    <row r="2" spans="1:7" ht="15.75" customHeight="1" x14ac:dyDescent="0.35">
      <c r="A2" s="4" t="s">
        <v>34</v>
      </c>
      <c r="B2" s="4" t="s">
        <v>0</v>
      </c>
      <c r="C2" s="4" t="s">
        <v>1</v>
      </c>
      <c r="E2" s="13" t="s">
        <v>95</v>
      </c>
      <c r="F2" s="13" t="s">
        <v>0</v>
      </c>
      <c r="G2" s="14" t="s">
        <v>1</v>
      </c>
    </row>
    <row r="3" spans="1:7" x14ac:dyDescent="0.35">
      <c r="A3" s="15" t="s">
        <v>2</v>
      </c>
      <c r="B3" s="41" cm="1">
        <f t="array" ref="B3:C3">'[2]SBR2 D&amp;E'!B15:C15</f>
        <v>5</v>
      </c>
      <c r="C3" s="42">
        <v>2</v>
      </c>
      <c r="E3" s="6" t="s">
        <v>69</v>
      </c>
      <c r="F3" s="43" cm="1">
        <f t="array" ref="F3:G6">'[2]SBR2 D&amp;E'!B5:C8</f>
        <v>497127</v>
      </c>
      <c r="G3" s="44">
        <v>18</v>
      </c>
    </row>
    <row r="4" spans="1:7" x14ac:dyDescent="0.35">
      <c r="A4" s="6" t="s">
        <v>5</v>
      </c>
      <c r="B4" s="43" cm="1">
        <f t="array" ref="B4:C5">'[2]SBR2 D&amp;E'!B28:C29</f>
        <v>132701</v>
      </c>
      <c r="C4" s="44">
        <v>19</v>
      </c>
      <c r="E4" s="6" t="s">
        <v>66</v>
      </c>
      <c r="F4" s="43">
        <v>883514</v>
      </c>
      <c r="G4" s="44">
        <v>19</v>
      </c>
    </row>
    <row r="5" spans="1:7" x14ac:dyDescent="0.35">
      <c r="A5" s="6" t="s">
        <v>6</v>
      </c>
      <c r="B5" s="43">
        <v>31968</v>
      </c>
      <c r="C5" s="44">
        <v>16</v>
      </c>
      <c r="E5" s="6" t="s">
        <v>70</v>
      </c>
      <c r="F5" s="43">
        <v>284625</v>
      </c>
      <c r="G5" s="44">
        <v>16</v>
      </c>
    </row>
    <row r="6" spans="1:7" x14ac:dyDescent="0.35">
      <c r="A6" s="6" t="s">
        <v>7</v>
      </c>
      <c r="B6" s="43" cm="1">
        <f t="array" ref="B6:C6">'[2]SBR2 D&amp;E'!B60:C60</f>
        <v>3</v>
      </c>
      <c r="C6" s="44">
        <v>1</v>
      </c>
      <c r="E6" s="6" t="s">
        <v>71</v>
      </c>
      <c r="F6" s="43">
        <v>49586</v>
      </c>
      <c r="G6" s="44">
        <v>15</v>
      </c>
    </row>
    <row r="7" spans="1:7" x14ac:dyDescent="0.35">
      <c r="A7" s="6" t="s">
        <v>8</v>
      </c>
      <c r="B7" s="43" cm="1">
        <f t="array" ref="B7:C8">'[2]SBR2 D&amp;E'!B62:C63</f>
        <v>3611</v>
      </c>
      <c r="C7" s="44">
        <v>15</v>
      </c>
      <c r="E7" s="6" t="s">
        <v>72</v>
      </c>
      <c r="F7" s="43" cm="1">
        <f t="array" ref="F7:G8">'[2]SBR2 D&amp;E'!B10:C11</f>
        <v>126873</v>
      </c>
      <c r="G7" s="44">
        <v>7</v>
      </c>
    </row>
    <row r="8" spans="1:7" x14ac:dyDescent="0.35">
      <c r="A8" s="6" t="s">
        <v>9</v>
      </c>
      <c r="B8" s="43">
        <v>1221</v>
      </c>
      <c r="C8" s="44">
        <v>11</v>
      </c>
      <c r="E8" s="6" t="s">
        <v>73</v>
      </c>
      <c r="F8" s="43">
        <v>872482</v>
      </c>
      <c r="G8" s="44">
        <v>7</v>
      </c>
    </row>
    <row r="9" spans="1:7" x14ac:dyDescent="0.35">
      <c r="A9" s="6" t="s">
        <v>109</v>
      </c>
      <c r="B9" s="43" cm="1">
        <f t="array" ref="B9:C10">'[2]SBR2 D&amp;E'!B65:C66</f>
        <v>386</v>
      </c>
      <c r="C9" s="44">
        <v>6</v>
      </c>
      <c r="E9" s="6" t="s">
        <v>74</v>
      </c>
      <c r="F9" s="43" cm="1">
        <f t="array" ref="F9:G9">'[2]SBR2 D&amp;E'!B17:C17</f>
        <v>4369</v>
      </c>
      <c r="G9" s="44">
        <v>3</v>
      </c>
    </row>
    <row r="10" spans="1:7" x14ac:dyDescent="0.35">
      <c r="A10" s="6" t="s">
        <v>10</v>
      </c>
      <c r="B10" s="43">
        <v>42</v>
      </c>
      <c r="C10" s="44">
        <v>3</v>
      </c>
      <c r="E10" s="6" t="s">
        <v>75</v>
      </c>
      <c r="F10" s="43" cm="1">
        <f t="array" ref="F10:G10">'[2]SBR2 D&amp;E'!B19:C19</f>
        <v>132115</v>
      </c>
      <c r="G10" s="44">
        <v>4</v>
      </c>
    </row>
    <row r="11" spans="1:7" x14ac:dyDescent="0.35">
      <c r="A11" s="6" t="s">
        <v>11</v>
      </c>
      <c r="B11" s="43" cm="1">
        <f t="array" ref="B11:C12">'[2]SBR2 D&amp;E'!B68:C69</f>
        <v>935</v>
      </c>
      <c r="C11" s="44">
        <v>4</v>
      </c>
      <c r="E11" s="6" t="s">
        <v>76</v>
      </c>
      <c r="F11" s="43" cm="1">
        <f t="array" ref="F11:G12">'[2]SBR2 D&amp;E'!B21:C22</f>
        <v>29176</v>
      </c>
      <c r="G11" s="44">
        <v>6</v>
      </c>
    </row>
    <row r="12" spans="1:7" x14ac:dyDescent="0.35">
      <c r="A12" s="6" t="s">
        <v>12</v>
      </c>
      <c r="B12" s="43">
        <v>503</v>
      </c>
      <c r="C12" s="44">
        <v>2</v>
      </c>
      <c r="E12" s="6" t="s">
        <v>77</v>
      </c>
      <c r="F12" s="43">
        <v>38796</v>
      </c>
      <c r="G12" s="44">
        <v>6</v>
      </c>
    </row>
    <row r="13" spans="1:7" x14ac:dyDescent="0.35">
      <c r="A13" s="6" t="s">
        <v>13</v>
      </c>
      <c r="B13" s="43" cm="1">
        <f t="array" ref="B13:C14">'[2]SBR2 D&amp;E'!B71:C72</f>
        <v>203</v>
      </c>
      <c r="C13" s="44">
        <v>6</v>
      </c>
      <c r="E13" s="6" t="s">
        <v>78</v>
      </c>
      <c r="F13" s="43" cm="1">
        <f t="array" ref="F13:G15">'[2]SBR2 D&amp;E'!B24:C26</f>
        <v>3723</v>
      </c>
      <c r="G13" s="44">
        <v>2</v>
      </c>
    </row>
    <row r="14" spans="1:7" x14ac:dyDescent="0.35">
      <c r="A14" s="6" t="s">
        <v>14</v>
      </c>
      <c r="B14" s="43">
        <v>42</v>
      </c>
      <c r="C14" s="44">
        <v>2</v>
      </c>
      <c r="E14" s="6" t="s">
        <v>79</v>
      </c>
      <c r="F14" s="43">
        <v>648</v>
      </c>
      <c r="G14" s="44">
        <v>1</v>
      </c>
    </row>
    <row r="15" spans="1:7" x14ac:dyDescent="0.35">
      <c r="A15" s="6" t="s">
        <v>15</v>
      </c>
      <c r="B15" s="43" cm="1">
        <f t="array" ref="B15:C15">'[2]SBR2 D&amp;E'!B81:C81</f>
        <v>20</v>
      </c>
      <c r="C15" s="44">
        <v>4</v>
      </c>
      <c r="E15" s="6" t="s">
        <v>80</v>
      </c>
      <c r="F15" s="43">
        <v>1227</v>
      </c>
      <c r="G15" s="44">
        <v>2</v>
      </c>
    </row>
    <row r="16" spans="1:7" x14ac:dyDescent="0.35">
      <c r="A16" s="6" t="s">
        <v>144</v>
      </c>
      <c r="B16" s="43" cm="1">
        <f t="array" ref="B16:C16">'[2]SBR2 D&amp;E'!B82:C82</f>
        <v>4</v>
      </c>
      <c r="C16" s="44">
        <v>1</v>
      </c>
      <c r="E16" s="6" t="s">
        <v>81</v>
      </c>
      <c r="F16" s="43" cm="1">
        <f t="array" ref="F16:G17">'[2]SBR2 D&amp;E'!B31:C32</f>
        <v>647</v>
      </c>
      <c r="G16" s="44">
        <v>5</v>
      </c>
    </row>
    <row r="17" spans="1:7" x14ac:dyDescent="0.35">
      <c r="A17" s="6" t="s">
        <v>16</v>
      </c>
      <c r="B17" s="43" cm="1">
        <f t="array" ref="B17:C19">'[2]SBR2 D&amp;E'!B84:C86</f>
        <v>1655074</v>
      </c>
      <c r="C17" s="44">
        <v>18</v>
      </c>
      <c r="E17" s="6" t="s">
        <v>82</v>
      </c>
      <c r="F17" s="43">
        <v>12</v>
      </c>
      <c r="G17" s="44">
        <v>2</v>
      </c>
    </row>
    <row r="18" spans="1:7" x14ac:dyDescent="0.35">
      <c r="A18" s="6" t="s">
        <v>17</v>
      </c>
      <c r="B18" s="43">
        <v>1180793</v>
      </c>
      <c r="C18" s="44">
        <v>18</v>
      </c>
      <c r="E18" s="6" t="s">
        <v>83</v>
      </c>
      <c r="F18" s="43" cm="1">
        <f t="array" ref="F18:G18">'[2]SBR2 D&amp;E'!B34:C34</f>
        <v>16015</v>
      </c>
      <c r="G18" s="44">
        <v>6</v>
      </c>
    </row>
    <row r="19" spans="1:7" x14ac:dyDescent="0.35">
      <c r="A19" s="6" t="s">
        <v>18</v>
      </c>
      <c r="B19" s="43">
        <v>214515</v>
      </c>
      <c r="C19" s="44">
        <v>11</v>
      </c>
      <c r="E19" s="6" t="s">
        <v>84</v>
      </c>
      <c r="F19" s="43" cm="1">
        <f t="array" ref="F19:G19">'[2]SBR2 D&amp;E'!B36:C36</f>
        <v>7</v>
      </c>
      <c r="G19" s="44">
        <v>1</v>
      </c>
    </row>
    <row r="20" spans="1:7" x14ac:dyDescent="0.35">
      <c r="A20" s="6" t="s">
        <v>19</v>
      </c>
      <c r="B20" s="43" cm="1">
        <f t="array" ref="B20:C20">'[2]SBR2 D&amp;E'!B88:C88</f>
        <v>5776</v>
      </c>
      <c r="C20" s="44">
        <v>3</v>
      </c>
      <c r="E20" s="6" t="s">
        <v>85</v>
      </c>
      <c r="F20" s="43" cm="1">
        <f t="array" ref="F20:G20">'[2]SBR2 D&amp;E'!B38:C38</f>
        <v>13</v>
      </c>
      <c r="G20" s="44">
        <v>1</v>
      </c>
    </row>
    <row r="21" spans="1:7" x14ac:dyDescent="0.35">
      <c r="A21" s="6" t="s">
        <v>20</v>
      </c>
      <c r="B21" s="43" cm="1">
        <f t="array" ref="B21:C22">'[2]SBR2 D&amp;E'!B113:C114</f>
        <v>50101</v>
      </c>
      <c r="C21" s="44">
        <v>16</v>
      </c>
      <c r="E21" s="6" t="s">
        <v>86</v>
      </c>
      <c r="F21" s="43" cm="1">
        <f t="array" ref="F21:G22">'[2]SBR2 D&amp;E'!B40:C41</f>
        <v>13073</v>
      </c>
      <c r="G21" s="44">
        <v>2</v>
      </c>
    </row>
    <row r="22" spans="1:7" x14ac:dyDescent="0.35">
      <c r="A22" s="6" t="s">
        <v>21</v>
      </c>
      <c r="B22" s="43">
        <v>11190</v>
      </c>
      <c r="C22" s="44">
        <v>14</v>
      </c>
      <c r="E22" s="6" t="s">
        <v>87</v>
      </c>
      <c r="F22" s="43">
        <v>56</v>
      </c>
      <c r="G22" s="44">
        <v>4</v>
      </c>
    </row>
    <row r="23" spans="1:7" x14ac:dyDescent="0.35">
      <c r="A23" s="6" t="s">
        <v>24</v>
      </c>
      <c r="B23" s="43" cm="1">
        <f t="array" ref="B23:C24">'[2]SBR2 D&amp;E'!B118:C119</f>
        <v>57610</v>
      </c>
      <c r="C23" s="44">
        <v>18</v>
      </c>
      <c r="E23" s="6" t="s">
        <v>88</v>
      </c>
      <c r="F23" s="43" cm="1">
        <f t="array" ref="F23:G25">'[2]SBR2 D&amp;E'!B43:C45</f>
        <v>1437</v>
      </c>
      <c r="G23" s="44">
        <v>3</v>
      </c>
    </row>
    <row r="24" spans="1:7" x14ac:dyDescent="0.35">
      <c r="A24" s="6" t="s">
        <v>25</v>
      </c>
      <c r="B24" s="43">
        <v>68105</v>
      </c>
      <c r="C24" s="44">
        <v>11</v>
      </c>
      <c r="E24" s="6" t="s">
        <v>89</v>
      </c>
      <c r="F24" s="43">
        <v>412</v>
      </c>
      <c r="G24" s="44">
        <v>3</v>
      </c>
    </row>
    <row r="25" spans="1:7" x14ac:dyDescent="0.35">
      <c r="A25" s="6" t="s">
        <v>28</v>
      </c>
      <c r="B25" s="43" cm="1">
        <f t="array" ref="B25:C26">'[2]SBR2 D&amp;E'!B141:C142</f>
        <v>388</v>
      </c>
      <c r="C25" s="44">
        <v>4</v>
      </c>
      <c r="E25" s="6" t="s">
        <v>139</v>
      </c>
      <c r="F25" s="43">
        <v>5</v>
      </c>
      <c r="G25" s="44">
        <v>2</v>
      </c>
    </row>
    <row r="26" spans="1:7" ht="12.75" customHeight="1" x14ac:dyDescent="0.35">
      <c r="A26" s="6" t="s">
        <v>29</v>
      </c>
      <c r="B26" s="43">
        <v>2353</v>
      </c>
      <c r="C26" s="44">
        <v>4</v>
      </c>
      <c r="E26" s="6" t="s">
        <v>145</v>
      </c>
      <c r="F26" s="43" cm="1">
        <f t="array" ref="F26:G26">'[2]SBR2 D&amp;E'!B54:C54</f>
        <v>2</v>
      </c>
      <c r="G26" s="44">
        <v>1</v>
      </c>
    </row>
    <row r="27" spans="1:7" x14ac:dyDescent="0.35">
      <c r="A27" s="6" t="s">
        <v>30</v>
      </c>
      <c r="B27" s="43" cm="1">
        <f t="array" ref="B27:C28">'[2]SBR2 D&amp;E'!B141:C142</f>
        <v>388</v>
      </c>
      <c r="C27" s="44">
        <v>4</v>
      </c>
      <c r="E27" s="6" t="s">
        <v>90</v>
      </c>
      <c r="F27" s="43" cm="1">
        <f t="array" ref="F27:G27">'[2]SBR2 D&amp;E'!B47:C47</f>
        <v>117497</v>
      </c>
      <c r="G27" s="44">
        <v>4</v>
      </c>
    </row>
    <row r="28" spans="1:7" x14ac:dyDescent="0.35">
      <c r="A28" s="6" t="s">
        <v>31</v>
      </c>
      <c r="B28" s="43">
        <v>2353</v>
      </c>
      <c r="C28" s="44">
        <v>4</v>
      </c>
      <c r="E28" s="6" t="s">
        <v>91</v>
      </c>
      <c r="F28" s="43" cm="1">
        <f t="array" ref="F28:G28">'[2]SBR2 D&amp;E'!B50:C50</f>
        <v>358</v>
      </c>
      <c r="G28" s="44">
        <v>6</v>
      </c>
    </row>
    <row r="29" spans="1:7" x14ac:dyDescent="0.35">
      <c r="A29" s="6" t="s">
        <v>32</v>
      </c>
      <c r="B29" s="43" cm="1">
        <f t="array" ref="B29:C29">'[2]SBR2 D&amp;E'!B144:C144</f>
        <v>5</v>
      </c>
      <c r="C29" s="44">
        <v>2</v>
      </c>
      <c r="E29" s="6" t="s">
        <v>92</v>
      </c>
      <c r="F29" s="43" cm="1">
        <f t="array" ref="F29:G29">'[2]SBR2 D&amp;E'!B51:C51</f>
        <v>5570</v>
      </c>
      <c r="G29" s="44">
        <v>6</v>
      </c>
    </row>
    <row r="30" spans="1:7" x14ac:dyDescent="0.35">
      <c r="A30" s="7" t="s">
        <v>33</v>
      </c>
      <c r="B30" s="45" cm="1">
        <f t="array" ref="B30:C30">'[2]SBR2 D&amp;E'!B146:C146</f>
        <v>561</v>
      </c>
      <c r="C30" s="46">
        <v>6</v>
      </c>
      <c r="E30" s="6" t="s">
        <v>93</v>
      </c>
      <c r="F30" s="43" cm="1">
        <f t="array" ref="F30:G30">'[2]SBR2 D&amp;E'!B48:C48</f>
        <v>20516</v>
      </c>
      <c r="G30" s="44">
        <v>13</v>
      </c>
    </row>
    <row r="31" spans="1:7" ht="15" customHeight="1" x14ac:dyDescent="0.35">
      <c r="E31" s="6" t="s">
        <v>94</v>
      </c>
      <c r="F31" s="43" cm="1">
        <f t="array" ref="F31:G31">'[2]SBR2 D&amp;E'!B49:C49</f>
        <v>348</v>
      </c>
      <c r="G31" s="44">
        <v>2</v>
      </c>
    </row>
    <row r="32" spans="1:7" ht="15" customHeight="1" x14ac:dyDescent="0.35">
      <c r="A32" s="13" t="s">
        <v>35</v>
      </c>
      <c r="B32" s="13" t="s">
        <v>0</v>
      </c>
      <c r="C32" s="14" t="s">
        <v>1</v>
      </c>
      <c r="E32" s="6" t="s">
        <v>146</v>
      </c>
      <c r="F32" s="43" cm="1">
        <f t="array" ref="F32:G32">'[2]SBR2 D&amp;E'!B52:C52</f>
        <v>54</v>
      </c>
      <c r="G32" s="44">
        <v>1</v>
      </c>
    </row>
    <row r="33" spans="1:7" ht="15" customHeight="1" x14ac:dyDescent="0.35">
      <c r="A33" s="15" t="s">
        <v>36</v>
      </c>
      <c r="B33" s="41" cm="1">
        <f t="array" ref="B33:C34">'[2]SBR2 D&amp;E'!B74:C75</f>
        <v>8425</v>
      </c>
      <c r="C33" s="42">
        <v>2</v>
      </c>
      <c r="E33" s="6" t="s">
        <v>96</v>
      </c>
      <c r="F33" s="43" cm="1">
        <f t="array" ref="F33:G33">'[2]SBR2 D&amp;E'!B56:C56</f>
        <v>14324</v>
      </c>
      <c r="G33" s="44">
        <v>11</v>
      </c>
    </row>
    <row r="34" spans="1:7" x14ac:dyDescent="0.35">
      <c r="A34" s="6" t="s">
        <v>37</v>
      </c>
      <c r="B34" s="43">
        <v>1647</v>
      </c>
      <c r="C34" s="44">
        <v>22</v>
      </c>
      <c r="E34" s="6" t="s">
        <v>147</v>
      </c>
      <c r="F34" s="43" cm="1">
        <f t="array" ref="F34:G34">'[2]SBR2 D&amp;E'!B58:C58</f>
        <v>4433</v>
      </c>
      <c r="G34" s="44">
        <v>11</v>
      </c>
    </row>
    <row r="35" spans="1:7" x14ac:dyDescent="0.35">
      <c r="A35" s="6" t="s">
        <v>38</v>
      </c>
      <c r="B35" s="43" cm="1">
        <f t="array" ref="B35:C35">'[2]SBR2 D&amp;E'!B77:C77</f>
        <v>41</v>
      </c>
      <c r="C35" s="44">
        <v>2</v>
      </c>
      <c r="E35" s="6" t="s">
        <v>97</v>
      </c>
      <c r="F35" s="43" cm="1">
        <f t="array" ref="F35:G35">'[2]SBR2 D&amp;E'!B79:C79</f>
        <v>481722</v>
      </c>
      <c r="G35" s="44">
        <v>13</v>
      </c>
    </row>
    <row r="36" spans="1:7" x14ac:dyDescent="0.35">
      <c r="A36" s="6" t="s">
        <v>39</v>
      </c>
      <c r="B36" s="43" cm="1">
        <f t="array" ref="B36:C36">'[2]SBR2 D&amp;E'!B116:C116</f>
        <v>71847</v>
      </c>
      <c r="C36" s="44">
        <v>12</v>
      </c>
      <c r="E36" s="6" t="s">
        <v>98</v>
      </c>
      <c r="F36" s="43" cm="1">
        <f t="array" ref="F36:G36">'[2]SBR2 D&amp;E'!B92:C92</f>
        <v>2136</v>
      </c>
      <c r="G36" s="44">
        <v>1</v>
      </c>
    </row>
    <row r="37" spans="1:7" x14ac:dyDescent="0.35">
      <c r="A37" s="6" t="s">
        <v>40</v>
      </c>
      <c r="B37" s="43" cm="1">
        <f t="array" ref="B37:C37">'[2]SBR2 D&amp;E'!B121:C121</f>
        <v>3933</v>
      </c>
      <c r="C37" s="44">
        <v>6</v>
      </c>
      <c r="E37" s="6" t="s">
        <v>99</v>
      </c>
      <c r="F37" s="43" cm="1">
        <f t="array" ref="F37:G37">'[2]SBR2 D&amp;E'!B94:C94</f>
        <v>2628937</v>
      </c>
      <c r="G37" s="44">
        <v>8</v>
      </c>
    </row>
    <row r="38" spans="1:7" x14ac:dyDescent="0.35">
      <c r="A38" s="6" t="s">
        <v>41</v>
      </c>
      <c r="B38" s="43" cm="1">
        <f t="array" ref="B38:C38">'[2]SBR2 D&amp;E'!B123:C123</f>
        <v>19991</v>
      </c>
      <c r="C38" s="44">
        <v>20</v>
      </c>
      <c r="E38" s="6" t="s">
        <v>140</v>
      </c>
      <c r="F38" s="43" cm="1">
        <f t="array" ref="F38:G38">'[2]SBR2 D&amp;E'!B96:C96</f>
        <v>20</v>
      </c>
      <c r="G38" s="44">
        <v>1</v>
      </c>
    </row>
    <row r="39" spans="1:7" x14ac:dyDescent="0.35">
      <c r="A39" s="6" t="s">
        <v>42</v>
      </c>
      <c r="B39" s="43" cm="1">
        <f t="array" ref="B39:C40">'[2]SBR2 D&amp;E'!B125:C126</f>
        <v>18674145</v>
      </c>
      <c r="C39" s="44">
        <v>17</v>
      </c>
      <c r="E39" s="6" t="s">
        <v>141</v>
      </c>
      <c r="F39" s="43" cm="1">
        <f t="array" ref="F39:G39">'[2]SBR2 D&amp;E'!B98:C98</f>
        <v>199</v>
      </c>
      <c r="G39" s="44">
        <v>2</v>
      </c>
    </row>
    <row r="40" spans="1:7" x14ac:dyDescent="0.35">
      <c r="A40" s="6" t="s">
        <v>43</v>
      </c>
      <c r="B40" s="43">
        <v>724867</v>
      </c>
      <c r="C40" s="44">
        <v>15</v>
      </c>
      <c r="E40" s="6" t="s">
        <v>100</v>
      </c>
      <c r="F40" s="43" cm="1">
        <f t="array" ref="F40:G40">'[2]SBR2 D&amp;E'!B100:C100</f>
        <v>94111</v>
      </c>
      <c r="G40" s="44">
        <v>3</v>
      </c>
    </row>
    <row r="41" spans="1:7" x14ac:dyDescent="0.35">
      <c r="A41" s="6" t="s">
        <v>44</v>
      </c>
      <c r="B41" s="43" cm="1">
        <f t="array" ref="B41:C42">'[2]SBR2 D&amp;E'!B128:C129</f>
        <v>7198</v>
      </c>
      <c r="C41" s="44">
        <v>6</v>
      </c>
      <c r="E41" s="6" t="s">
        <v>103</v>
      </c>
      <c r="F41" s="43" cm="1">
        <f t="array" ref="F41:G41">'[2]SBR2 D&amp;E'!B102:C102</f>
        <v>301</v>
      </c>
      <c r="G41" s="44">
        <v>6</v>
      </c>
    </row>
    <row r="42" spans="1:7" x14ac:dyDescent="0.35">
      <c r="A42" s="6" t="s">
        <v>45</v>
      </c>
      <c r="B42" s="43">
        <v>1473590</v>
      </c>
      <c r="C42" s="44">
        <v>17</v>
      </c>
      <c r="E42" s="6" t="s">
        <v>104</v>
      </c>
      <c r="F42" s="43" cm="1">
        <f t="array" ref="F42:G42">'[2]SBR2 D&amp;E'!B104:C104</f>
        <v>353</v>
      </c>
      <c r="G42" s="44">
        <v>8</v>
      </c>
    </row>
    <row r="43" spans="1:7" x14ac:dyDescent="0.35">
      <c r="A43" s="7" t="s">
        <v>46</v>
      </c>
      <c r="B43" s="45" cm="1">
        <f t="array" ref="B43:C43">'[2]SBR2 D&amp;E'!B131:C131</f>
        <v>192716</v>
      </c>
      <c r="C43" s="46">
        <v>19</v>
      </c>
      <c r="E43" s="6" t="s">
        <v>101</v>
      </c>
      <c r="F43" s="43" cm="1">
        <f t="array" ref="F43:G43">'[2]SBR2 D&amp;E'!B106:C106</f>
        <v>112157</v>
      </c>
      <c r="G43" s="44">
        <v>10</v>
      </c>
    </row>
    <row r="44" spans="1:7" x14ac:dyDescent="0.35">
      <c r="E44" s="6" t="s">
        <v>105</v>
      </c>
      <c r="F44" s="43" cm="1">
        <f t="array" ref="F44:G44">'[2]SBR2 D&amp;E'!B111:C111</f>
        <v>438</v>
      </c>
      <c r="G44" s="44">
        <v>2</v>
      </c>
    </row>
    <row r="45" spans="1:7" ht="16.3" x14ac:dyDescent="0.35">
      <c r="A45" s="13" t="s">
        <v>64</v>
      </c>
      <c r="B45" s="13" t="s">
        <v>0</v>
      </c>
      <c r="C45" s="14" t="s">
        <v>1</v>
      </c>
      <c r="E45" s="7" t="s">
        <v>102</v>
      </c>
      <c r="F45" s="45" cm="1">
        <f t="array" ref="F45:G45">'[2]SBR2 D&amp;E'!B148:C148</f>
        <v>569030</v>
      </c>
      <c r="G45" s="46">
        <v>5</v>
      </c>
    </row>
    <row r="46" spans="1:7" x14ac:dyDescent="0.35">
      <c r="A46" s="15" t="s">
        <v>56</v>
      </c>
      <c r="B46" s="41" cm="1">
        <f t="array" ref="B46:C47">'[2]SBR2 D&amp;E'!B108:C109</f>
        <v>3076605</v>
      </c>
      <c r="C46" s="42">
        <v>327</v>
      </c>
    </row>
    <row r="47" spans="1:7" ht="15.75" customHeight="1" x14ac:dyDescent="0.35">
      <c r="A47" s="6" t="s">
        <v>57</v>
      </c>
      <c r="B47" s="47">
        <v>141030</v>
      </c>
      <c r="C47" s="48">
        <v>181</v>
      </c>
      <c r="E47" s="13" t="s">
        <v>106</v>
      </c>
      <c r="F47" s="13" t="s">
        <v>0</v>
      </c>
      <c r="G47" s="14" t="s">
        <v>107</v>
      </c>
    </row>
    <row r="48" spans="1:7" x14ac:dyDescent="0.35">
      <c r="A48" s="6" t="s">
        <v>60</v>
      </c>
      <c r="B48" s="43" cm="1">
        <f t="array" ref="B48:C48">'[2]SBR2 D&amp;E'!B133:C133</f>
        <v>217908</v>
      </c>
      <c r="C48" s="44">
        <v>15</v>
      </c>
      <c r="E48" s="15" t="s">
        <v>142</v>
      </c>
      <c r="F48" s="41" cm="1">
        <f t="array" ref="F48:G48">'[2]SBR2 D&amp;E'!B13:C13</f>
        <v>1</v>
      </c>
      <c r="G48" s="42">
        <v>1</v>
      </c>
    </row>
    <row r="49" spans="1:7" x14ac:dyDescent="0.35">
      <c r="A49" s="6" t="s">
        <v>62</v>
      </c>
      <c r="B49" s="47" cm="1">
        <f t="array" ref="B49:C50">'[2]SBR2 D&amp;E'!B135:C136</f>
        <v>1805</v>
      </c>
      <c r="C49" s="48">
        <v>8</v>
      </c>
      <c r="E49" s="7" t="s">
        <v>108</v>
      </c>
      <c r="F49" s="45" cm="1">
        <f t="array" ref="F49:G49">'[2]SBR2 D&amp;E'!B90:C90</f>
        <v>623</v>
      </c>
      <c r="G49" s="46">
        <v>5</v>
      </c>
    </row>
    <row r="50" spans="1:7" x14ac:dyDescent="0.35">
      <c r="A50" s="7" t="s">
        <v>63</v>
      </c>
      <c r="B50" s="45">
        <v>166</v>
      </c>
      <c r="C50" s="46">
        <v>3</v>
      </c>
    </row>
    <row r="51" spans="1:7" ht="12" customHeight="1" x14ac:dyDescent="0.35"/>
    <row r="53" spans="1:7" x14ac:dyDescent="0.35">
      <c r="A53" s="63" t="s">
        <v>150</v>
      </c>
      <c r="B53" s="64"/>
      <c r="C53" s="65"/>
    </row>
    <row r="54" spans="1:7" x14ac:dyDescent="0.35">
      <c r="A54" s="66"/>
      <c r="B54" s="74"/>
      <c r="C54" s="68"/>
    </row>
    <row r="55" spans="1:7" x14ac:dyDescent="0.35">
      <c r="A55" s="66"/>
      <c r="B55" s="74"/>
      <c r="C55" s="68"/>
    </row>
    <row r="56" spans="1:7" x14ac:dyDescent="0.35">
      <c r="A56" s="66"/>
      <c r="B56" s="74"/>
      <c r="C56" s="68"/>
    </row>
    <row r="57" spans="1:7" x14ac:dyDescent="0.35">
      <c r="A57" s="66"/>
      <c r="B57" s="74"/>
      <c r="C57" s="68"/>
    </row>
    <row r="58" spans="1:7" x14ac:dyDescent="0.35">
      <c r="A58" s="66"/>
      <c r="B58" s="74"/>
      <c r="C58" s="68"/>
    </row>
    <row r="59" spans="1:7" x14ac:dyDescent="0.35">
      <c r="A59" s="66"/>
      <c r="B59" s="74"/>
      <c r="C59" s="68"/>
    </row>
    <row r="60" spans="1:7" x14ac:dyDescent="0.35">
      <c r="A60" s="66"/>
      <c r="B60" s="74"/>
      <c r="C60" s="68"/>
    </row>
    <row r="61" spans="1:7" x14ac:dyDescent="0.35">
      <c r="A61" s="66"/>
      <c r="B61" s="74"/>
      <c r="C61" s="68"/>
    </row>
    <row r="62" spans="1:7" x14ac:dyDescent="0.35">
      <c r="A62" s="66"/>
      <c r="B62" s="74"/>
      <c r="C62" s="68"/>
    </row>
    <row r="63" spans="1:7" x14ac:dyDescent="0.35">
      <c r="A63" s="69"/>
      <c r="B63" s="70"/>
      <c r="C63" s="71"/>
    </row>
  </sheetData>
  <mergeCells count="2">
    <mergeCell ref="A1:G1"/>
    <mergeCell ref="A53:C6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A5B31-82E9-4B7D-BB39-5B9B961FA980}">
  <sheetPr>
    <tabColor theme="4" tint="-0.249977111117893"/>
    <pageSetUpPr fitToPage="1"/>
  </sheetPr>
  <dimension ref="A1:K51"/>
  <sheetViews>
    <sheetView topLeftCell="A22" zoomScaleNormal="100" workbookViewId="0">
      <selection activeCell="S43" sqref="S43"/>
    </sheetView>
  </sheetViews>
  <sheetFormatPr defaultColWidth="5.3046875" defaultRowHeight="14.6" x14ac:dyDescent="0.4"/>
  <cols>
    <col min="1" max="1" width="23.3828125" style="8" customWidth="1"/>
    <col min="2" max="5" width="6.53515625" style="8" customWidth="1"/>
    <col min="6" max="6" width="2.69140625" style="8" customWidth="1"/>
    <col min="7" max="7" width="18.53515625" style="8" customWidth="1"/>
    <col min="8" max="11" width="6.53515625" style="8" customWidth="1"/>
    <col min="12" max="16384" width="5.3046875" style="5"/>
  </cols>
  <sheetData>
    <row r="1" spans="1:11" ht="35.25" customHeight="1" x14ac:dyDescent="0.4">
      <c r="A1" s="72" t="s">
        <v>127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16.3" x14ac:dyDescent="0.4">
      <c r="A2" s="19" t="s">
        <v>134</v>
      </c>
      <c r="B2" s="30" t="s">
        <v>112</v>
      </c>
      <c r="C2" s="30" t="s">
        <v>113</v>
      </c>
      <c r="D2" s="31" t="s">
        <v>114</v>
      </c>
      <c r="E2" s="32" t="s">
        <v>115</v>
      </c>
      <c r="F2" s="76"/>
      <c r="G2" s="19" t="s">
        <v>135</v>
      </c>
      <c r="H2" s="33" t="s">
        <v>112</v>
      </c>
      <c r="I2" s="33" t="s">
        <v>113</v>
      </c>
      <c r="J2" s="34" t="s">
        <v>114</v>
      </c>
      <c r="K2" s="35" t="s">
        <v>115</v>
      </c>
    </row>
    <row r="3" spans="1:11" x14ac:dyDescent="0.4">
      <c r="A3" s="6" t="s">
        <v>5</v>
      </c>
      <c r="B3" s="56" cm="1">
        <f t="array" ref="B3:C4">'[2]SBR2 D&amp;E'!H28:I29</f>
        <v>953</v>
      </c>
      <c r="C3" s="56">
        <v>1663</v>
      </c>
      <c r="D3" s="56"/>
      <c r="E3" s="57" cm="1">
        <f t="array" ref="E3:E4">'[2]SBR2 D&amp;E'!K28:K29</f>
        <v>302</v>
      </c>
      <c r="F3" s="77"/>
      <c r="G3" s="15" t="s">
        <v>69</v>
      </c>
      <c r="H3" s="56" cm="1">
        <f t="array" ref="H3:K6">'[2]SBR2 D&amp;E'!H5:K8</f>
        <v>91</v>
      </c>
      <c r="I3" s="56">
        <v>280</v>
      </c>
      <c r="J3" s="56">
        <v>24296</v>
      </c>
      <c r="K3" s="57">
        <v>1786</v>
      </c>
    </row>
    <row r="4" spans="1:11" x14ac:dyDescent="0.4">
      <c r="A4" s="6" t="s">
        <v>6</v>
      </c>
      <c r="B4" s="56">
        <v>302</v>
      </c>
      <c r="C4" s="56">
        <v>1884</v>
      </c>
      <c r="D4" s="56"/>
      <c r="E4" s="57">
        <v>20</v>
      </c>
      <c r="F4" s="77"/>
      <c r="G4" s="6" t="s">
        <v>66</v>
      </c>
      <c r="H4" s="56">
        <v>9343</v>
      </c>
      <c r="I4" s="56">
        <v>174</v>
      </c>
      <c r="J4" s="56">
        <v>435973</v>
      </c>
      <c r="K4" s="57">
        <v>2575</v>
      </c>
    </row>
    <row r="5" spans="1:11" x14ac:dyDescent="0.4">
      <c r="A5" s="6" t="s">
        <v>8</v>
      </c>
      <c r="B5" s="56" cm="1">
        <f t="array" ref="B5:C6">'[2]SBR2 D&amp;E'!H62:I63</f>
        <v>22</v>
      </c>
      <c r="C5" s="56">
        <v>62</v>
      </c>
      <c r="D5" s="56"/>
      <c r="E5" s="57" cm="1">
        <f t="array" ref="E5:E6">'[2]SBR2 D&amp;E'!K62:K63</f>
        <v>30</v>
      </c>
      <c r="F5" s="77"/>
      <c r="G5" s="6" t="s">
        <v>70</v>
      </c>
      <c r="H5" s="56">
        <v>714</v>
      </c>
      <c r="I5" s="56">
        <v>164</v>
      </c>
      <c r="J5" s="56">
        <v>17828</v>
      </c>
      <c r="K5" s="57">
        <v>1200</v>
      </c>
    </row>
    <row r="6" spans="1:11" x14ac:dyDescent="0.4">
      <c r="A6" s="6" t="s">
        <v>119</v>
      </c>
      <c r="B6" s="56">
        <v>64</v>
      </c>
      <c r="C6" s="56">
        <v>66</v>
      </c>
      <c r="D6" s="56"/>
      <c r="E6" s="57">
        <v>48</v>
      </c>
      <c r="F6" s="77"/>
      <c r="G6" s="6" t="s">
        <v>71</v>
      </c>
      <c r="H6" s="56">
        <v>65</v>
      </c>
      <c r="I6" s="56">
        <v>71</v>
      </c>
      <c r="J6" s="56">
        <v>6323</v>
      </c>
      <c r="K6" s="57">
        <v>109</v>
      </c>
    </row>
    <row r="7" spans="1:11" x14ac:dyDescent="0.4">
      <c r="A7" s="6" t="s">
        <v>109</v>
      </c>
      <c r="B7" s="56" cm="1">
        <f t="array" ref="B7:C8">'[2]SBR2 D&amp;E'!H65:I66</f>
        <v>21</v>
      </c>
      <c r="C7" s="56">
        <v>1</v>
      </c>
      <c r="D7" s="56"/>
      <c r="E7" s="57" cm="1">
        <f t="array" ref="E7:E8">'[2]SBR2 D&amp;E'!K65:K66</f>
        <v>2</v>
      </c>
      <c r="F7" s="77"/>
      <c r="G7" s="6" t="s">
        <v>72</v>
      </c>
      <c r="H7" s="56"/>
      <c r="I7" s="56">
        <f>GETPIVOTDATA("[Measures].[Sum of Failed Val Count]",'[2]SBR2 D&amp;E'!$G$3,"[Range].[Service Name]","[Range].[Service Name].&amp;[asmt]","[Range].[Action Name]","[Range].[Action Name].&amp;[Get]")</f>
        <v>4</v>
      </c>
      <c r="J7" s="56"/>
      <c r="K7" s="57">
        <f>GETPIVOTDATA("[Measures].[Sum of System Error Count]",'[2]SBR2 D&amp;E'!$G$3,"[Range].[Service Name]","[Range].[Service Name].&amp;[asmt]","[Range].[Action Name]","[Range].[Action Name].&amp;[Get]")</f>
        <v>88</v>
      </c>
    </row>
    <row r="8" spans="1:11" x14ac:dyDescent="0.4">
      <c r="A8" s="6" t="s">
        <v>10</v>
      </c>
      <c r="B8" s="56">
        <v>2</v>
      </c>
      <c r="C8" s="56">
        <v>2</v>
      </c>
      <c r="D8" s="56"/>
      <c r="E8" s="57">
        <v>1</v>
      </c>
      <c r="F8" s="77"/>
      <c r="G8" s="6" t="s">
        <v>73</v>
      </c>
      <c r="H8" s="56">
        <f>GETPIVOTDATA("[Measures].[Sum of Failed Auth Count]",'[2]SBR2 D&amp;E'!$G$3,"[Range].[Service Name]","[Range].[Service Name].&amp;[asmt]","[Range].[Action Name]","[Range].[Action Name].&amp;[List]")</f>
        <v>8224</v>
      </c>
      <c r="I8" s="56"/>
      <c r="J8" s="56" cm="1">
        <f t="array" ref="J8:K8">'[2]SBR2 D&amp;E'!J11:K11</f>
        <v>2596</v>
      </c>
      <c r="K8" s="57">
        <v>978</v>
      </c>
    </row>
    <row r="9" spans="1:11" x14ac:dyDescent="0.4">
      <c r="A9" s="21" t="s">
        <v>11</v>
      </c>
      <c r="B9" s="56" cm="1">
        <f t="array" ref="B9:C9">'[2]SBR2 D&amp;E'!H68:I68</f>
        <v>1</v>
      </c>
      <c r="C9" s="56">
        <v>1</v>
      </c>
      <c r="D9" s="56"/>
      <c r="E9" s="57">
        <f>GETPIVOTDATA("[Measures].[Sum of System Error Count]",'[2]SBR2 D&amp;E'!$G$3,"[Range].[Service Name]","[Range].[Service Name].&amp;[fitr]","[Range].[Action Name]","[Range].[Action Name].&amp;[Submit]")</f>
        <v>1</v>
      </c>
      <c r="F9" s="77"/>
      <c r="G9" s="6" t="s">
        <v>74</v>
      </c>
      <c r="H9" s="56">
        <f>GETPIVOTDATA("[Measures].[Sum of Failed Auth Count]",'[2]SBR2 D&amp;E'!$G$3,"[Range].[Service Name]","[Range].[Service Name].&amp;[clntacc]","[Range].[Action Name]","[Range].[Action Name].&amp;[List]")</f>
        <v>254</v>
      </c>
      <c r="I9" s="56">
        <f>GETPIVOTDATA("[Measures].[Sum of Failed Val Count]",'[2]SBR2 D&amp;E'!$G$3,"[Range].[Service Name]","[Range].[Service Name].&amp;[clntacc]","[Range].[Action Name]","[Range].[Action Name].&amp;[List]")</f>
        <v>4</v>
      </c>
      <c r="J9" s="56"/>
      <c r="K9" s="57">
        <f>GETPIVOTDATA("[Measures].[Sum of System Error Count]",'[2]SBR2 D&amp;E'!$G$3,"[Range].[Service Name]","[Range].[Service Name].&amp;[clntacc]","[Range].[Action Name]","[Range].[Action Name].&amp;[List]")</f>
        <v>11</v>
      </c>
    </row>
    <row r="10" spans="1:11" x14ac:dyDescent="0.4">
      <c r="A10" s="6" t="s">
        <v>12</v>
      </c>
      <c r="B10" s="56" cm="1">
        <f t="array" ref="B10:C10">'[2]SBR2 D&amp;E'!H69:I69</f>
        <v>7</v>
      </c>
      <c r="C10" s="56">
        <v>10</v>
      </c>
      <c r="D10" s="56"/>
      <c r="E10" s="57"/>
      <c r="F10" s="77"/>
      <c r="G10" s="6" t="s">
        <v>75</v>
      </c>
      <c r="H10" s="56" cm="1">
        <f t="array" ref="H10:I10">'[2]SBR2 D&amp;E'!H19:I19</f>
        <v>1516</v>
      </c>
      <c r="I10" s="56">
        <v>81</v>
      </c>
      <c r="J10" s="56"/>
      <c r="K10" s="57">
        <f>GETPIVOTDATA("[Measures].[Sum of System Error Count]",'[2]SBR2 D&amp;E'!$G$3,"[Range].[Service Name]","[Range].[Service Name].&amp;[clntaccsum]","[Range].[Action Name]","[Range].[Action Name].&amp;[List]")</f>
        <v>1340</v>
      </c>
    </row>
    <row r="11" spans="1:11" x14ac:dyDescent="0.4">
      <c r="A11" s="6" t="s">
        <v>13</v>
      </c>
      <c r="B11" s="56" cm="1">
        <f t="array" ref="B11:C12">'[2]SBR2 D&amp;E'!H71:I72</f>
        <v>1</v>
      </c>
      <c r="C11" s="56">
        <v>13</v>
      </c>
      <c r="D11" s="56"/>
      <c r="E11" s="57"/>
      <c r="F11" s="77"/>
      <c r="G11" s="6" t="s">
        <v>76</v>
      </c>
      <c r="H11" s="56"/>
      <c r="I11" s="56"/>
      <c r="J11" s="56" cm="1">
        <f t="array" ref="J11:K11">'[2]SBR2 D&amp;E'!J21:K21</f>
        <v>72</v>
      </c>
      <c r="K11" s="57">
        <v>34</v>
      </c>
    </row>
    <row r="12" spans="1:11" x14ac:dyDescent="0.4">
      <c r="A12" s="6" t="s">
        <v>14</v>
      </c>
      <c r="B12" s="56">
        <v>2</v>
      </c>
      <c r="C12" s="56">
        <v>3</v>
      </c>
      <c r="D12" s="56"/>
      <c r="E12" s="57"/>
      <c r="F12" s="77"/>
      <c r="G12" s="6" t="s">
        <v>77</v>
      </c>
      <c r="H12" s="56" cm="1">
        <f t="array" ref="H12:I12">'[2]SBR2 D&amp;E'!H22:I22</f>
        <v>490</v>
      </c>
      <c r="I12" s="56">
        <v>798</v>
      </c>
      <c r="J12" s="56"/>
      <c r="K12" s="57">
        <f>GETPIVOTDATA("[Measures].[Sum of System Error Count]",'[2]SBR2 D&amp;E'!$G$3,"[Range].[Service Name]","[Range].[Service Name].&amp;[clntcomm]","[Range].[Action Name]","[Range].[Action Name].&amp;[List]")</f>
        <v>3041</v>
      </c>
    </row>
    <row r="13" spans="1:11" x14ac:dyDescent="0.4">
      <c r="A13" s="21" t="s">
        <v>15</v>
      </c>
      <c r="B13" s="56" cm="1">
        <f t="array" ref="B13:B14">'[2]SBR2 D&amp;E'!H81:H82</f>
        <v>1</v>
      </c>
      <c r="C13" s="56"/>
      <c r="D13" s="56"/>
      <c r="E13" s="57"/>
      <c r="F13" s="77"/>
      <c r="G13" s="6" t="s">
        <v>78</v>
      </c>
      <c r="H13" s="56">
        <f>GETPIVOTDATA("[Measures].[Sum of Failed Auth Count]",'[2]SBR2 D&amp;E'!$G$3,"[Range].[Service Name]","[Range].[Service Name].&amp;[commpref]","[Range].[Action Name]","[Range].[Action Name].&amp;[Get]")</f>
        <v>67</v>
      </c>
      <c r="I13" s="56"/>
      <c r="J13" s="56"/>
      <c r="K13" s="57">
        <f>GETPIVOTDATA("[Measures].[Sum of System Error Count]",'[2]SBR2 D&amp;E'!$G$3,"[Range].[Service Name]","[Range].[Service Name].&amp;[commpref]","[Range].[Action Name]","[Range].[Action Name].&amp;[Get]")</f>
        <v>5</v>
      </c>
    </row>
    <row r="14" spans="1:11" x14ac:dyDescent="0.4">
      <c r="A14" s="21" t="s">
        <v>144</v>
      </c>
      <c r="B14" s="56">
        <v>1</v>
      </c>
      <c r="C14" s="56"/>
      <c r="D14" s="56"/>
      <c r="E14" s="57"/>
      <c r="F14" s="77"/>
      <c r="G14" s="6" t="s">
        <v>79</v>
      </c>
      <c r="H14" s="56"/>
      <c r="I14" s="56"/>
      <c r="J14" s="56"/>
      <c r="K14" s="57">
        <f>GETPIVOTDATA("[Measures].[Sum of System Error Count]",'[2]SBR2 D&amp;E'!$G$3,"[Range].[Service Name]","[Range].[Service Name].&amp;[commpref]","[Range].[Action Name]","[Range].[Action Name].&amp;[List]")</f>
        <v>2</v>
      </c>
    </row>
    <row r="15" spans="1:11" x14ac:dyDescent="0.4">
      <c r="A15" s="6" t="s">
        <v>16</v>
      </c>
      <c r="B15" s="56" cm="1">
        <f t="array" ref="B15:E17">'[2]SBR2 D&amp;E'!H84:K86</f>
        <v>53101</v>
      </c>
      <c r="C15" s="56">
        <v>588</v>
      </c>
      <c r="D15" s="56">
        <v>918</v>
      </c>
      <c r="E15" s="57">
        <v>1479</v>
      </c>
      <c r="F15" s="77"/>
      <c r="G15" s="6" t="s">
        <v>80</v>
      </c>
      <c r="H15" s="56">
        <f>GETPIVOTDATA("[Measures].[Sum of Failed Auth Count]",'[2]SBR2 D&amp;E'!$G$3,"[Range].[Service Name]","[Range].[Service Name].&amp;[commpref]","[Range].[Action Name]","[Range].[Action Name].&amp;[Submit]")</f>
        <v>10</v>
      </c>
      <c r="I15" s="56"/>
      <c r="J15" s="56">
        <f>GETPIVOTDATA("[Measures].[Sum of Failed Backend Count]",'[2]SBR2 D&amp;E'!$G$3,"[Range].[Service Name]","[Range].[Service Name].&amp;[commpref]","[Range].[Action Name]","[Range].[Action Name].&amp;[Submit]")</f>
        <v>1</v>
      </c>
      <c r="K15" s="57"/>
    </row>
    <row r="16" spans="1:11" ht="15" customHeight="1" x14ac:dyDescent="0.4">
      <c r="A16" s="6" t="s">
        <v>17</v>
      </c>
      <c r="B16" s="56">
        <v>6499</v>
      </c>
      <c r="C16" s="56">
        <v>11452</v>
      </c>
      <c r="D16" s="56">
        <v>19971</v>
      </c>
      <c r="E16" s="57">
        <v>3060</v>
      </c>
      <c r="F16" s="77"/>
      <c r="G16" s="20" t="s">
        <v>120</v>
      </c>
      <c r="H16" s="56" cm="1">
        <f t="array" ref="H16:J16">'[2]SBR2 D&amp;E'!H31:J31</f>
        <v>34</v>
      </c>
      <c r="I16" s="56">
        <v>35</v>
      </c>
      <c r="J16" s="56">
        <v>189</v>
      </c>
      <c r="K16" s="57"/>
    </row>
    <row r="17" spans="1:11" ht="15" customHeight="1" x14ac:dyDescent="0.4">
      <c r="A17" s="6" t="s">
        <v>18</v>
      </c>
      <c r="B17" s="56">
        <v>1403</v>
      </c>
      <c r="C17" s="56">
        <v>9629</v>
      </c>
      <c r="D17" s="56">
        <v>5341</v>
      </c>
      <c r="E17" s="57">
        <v>353</v>
      </c>
      <c r="F17" s="77"/>
      <c r="G17" s="6" t="s">
        <v>121</v>
      </c>
      <c r="H17" s="56"/>
      <c r="I17" s="56" cm="1">
        <f t="array" ref="I17:J17">'[2]SBR2 D&amp;E'!I32:J32</f>
        <v>2</v>
      </c>
      <c r="J17" s="56">
        <v>1</v>
      </c>
      <c r="K17" s="57"/>
    </row>
    <row r="18" spans="1:11" x14ac:dyDescent="0.4">
      <c r="A18" s="6" t="s">
        <v>19</v>
      </c>
      <c r="B18" s="56" cm="1">
        <f t="array" ref="B18:C18">'[2]SBR2 D&amp;E'!H88:I88</f>
        <v>22</v>
      </c>
      <c r="C18" s="56">
        <v>428</v>
      </c>
      <c r="D18" s="56"/>
      <c r="E18" s="57">
        <f>GETPIVOTDATA("[Measures].[Sum of System Error Count]",'[2]SBR2 D&amp;E'!$G$3,"[Range].[Service Name]","[Range].[Service Name].&amp;[iitrprfl]","[Range].[Action Name]","[Range].[Action Name].&amp;[Get]")</f>
        <v>4</v>
      </c>
      <c r="F18" s="77"/>
      <c r="G18" s="6" t="s">
        <v>83</v>
      </c>
      <c r="H18" s="56" cm="1">
        <f t="array" ref="H18:K18">'[2]SBR2 D&amp;E'!H34:K34</f>
        <v>259</v>
      </c>
      <c r="I18" s="56">
        <v>2</v>
      </c>
      <c r="J18" s="56">
        <v>1</v>
      </c>
      <c r="K18" s="57">
        <v>11</v>
      </c>
    </row>
    <row r="19" spans="1:11" x14ac:dyDescent="0.4">
      <c r="A19" s="6" t="s">
        <v>20</v>
      </c>
      <c r="B19" s="56" cm="1">
        <f t="array" ref="B19:C20">'[2]SBR2 D&amp;E'!H113:I114</f>
        <v>340</v>
      </c>
      <c r="C19" s="56">
        <v>162</v>
      </c>
      <c r="D19" s="56"/>
      <c r="E19" s="57" cm="1">
        <f t="array" ref="E19:E20">'[2]SBR2 D&amp;E'!K113:K114</f>
        <v>56</v>
      </c>
      <c r="F19" s="77"/>
      <c r="G19" s="6" t="s">
        <v>85</v>
      </c>
      <c r="H19" s="56"/>
      <c r="I19" s="56" cm="1">
        <f t="array" ref="I19:J19">'[2]SBR2 D&amp;E'!I38:J38</f>
        <v>7</v>
      </c>
      <c r="J19" s="56">
        <v>6</v>
      </c>
      <c r="K19" s="57"/>
    </row>
    <row r="20" spans="1:11" x14ac:dyDescent="0.4">
      <c r="A20" s="6" t="s">
        <v>21</v>
      </c>
      <c r="B20" s="56">
        <v>162</v>
      </c>
      <c r="C20" s="56">
        <v>275</v>
      </c>
      <c r="D20" s="56"/>
      <c r="E20" s="57">
        <v>6</v>
      </c>
      <c r="F20" s="77"/>
      <c r="G20" s="6" t="s">
        <v>122</v>
      </c>
      <c r="H20" s="56" cm="1">
        <f t="array" ref="H20:K21">'[2]SBR2 D&amp;E'!H40:K41</f>
        <v>260</v>
      </c>
      <c r="I20" s="56">
        <v>7</v>
      </c>
      <c r="J20" s="56">
        <v>947</v>
      </c>
      <c r="K20" s="57">
        <v>15</v>
      </c>
    </row>
    <row r="21" spans="1:11" x14ac:dyDescent="0.4">
      <c r="A21" s="6" t="s">
        <v>24</v>
      </c>
      <c r="B21" s="56" cm="1">
        <f t="array" ref="B21:C22">'[2]SBR2 D&amp;E'!H118:I119</f>
        <v>459</v>
      </c>
      <c r="C21" s="56">
        <v>1419</v>
      </c>
      <c r="D21" s="56"/>
      <c r="E21" s="57" cm="1">
        <f t="array" ref="E21:E22">'[2]SBR2 D&amp;E'!K118:K119</f>
        <v>94</v>
      </c>
      <c r="F21" s="77"/>
      <c r="G21" s="6" t="s">
        <v>123</v>
      </c>
      <c r="H21" s="56">
        <v>2</v>
      </c>
      <c r="I21" s="56">
        <v>1</v>
      </c>
      <c r="J21" s="56">
        <v>4</v>
      </c>
      <c r="K21" s="57">
        <v>14</v>
      </c>
    </row>
    <row r="22" spans="1:11" ht="15" customHeight="1" x14ac:dyDescent="0.4">
      <c r="A22" s="6" t="s">
        <v>25</v>
      </c>
      <c r="B22" s="56">
        <v>2004</v>
      </c>
      <c r="C22" s="56">
        <v>14805</v>
      </c>
      <c r="D22" s="56"/>
      <c r="E22" s="57">
        <v>58</v>
      </c>
      <c r="F22" s="77"/>
      <c r="G22" s="6" t="s">
        <v>124</v>
      </c>
      <c r="H22" s="56">
        <f>GETPIVOTDATA("[Measures].[Sum of Failed Auth Count]",'[2]SBR2 D&amp;E'!$G$3,"[Range].[Service Name]","[Range].[Service Name].&amp;[cufi]","[Range].[Action Name]","[Range].[Action Name].&amp;[List]")</f>
        <v>186</v>
      </c>
      <c r="I22" s="56"/>
      <c r="J22" s="56">
        <f>GETPIVOTDATA("[Measures].[Sum of Failed Backend Count]",'[2]SBR2 D&amp;E'!$G$3,"[Range].[Service Name]","[Range].[Service Name].&amp;[cufi]","[Range].[Action Name]","[Range].[Action Name].&amp;[List]")</f>
        <v>176</v>
      </c>
      <c r="K22" s="57">
        <f>GETPIVOTDATA("[Measures].[Sum of System Error Count]",'[2]SBR2 D&amp;E'!$G$3,"[Range].[Service Name]","[Range].[Service Name].&amp;[cufi]","[Range].[Action Name]","[Range].[Action Name].&amp;[List]")</f>
        <v>1</v>
      </c>
    </row>
    <row r="23" spans="1:11" x14ac:dyDescent="0.4">
      <c r="A23" s="6" t="s">
        <v>28</v>
      </c>
      <c r="B23" s="56" cm="1">
        <f t="array" ref="B23:C24">'[2]SBR2 D&amp;E'!H138:I139</f>
        <v>1691</v>
      </c>
      <c r="C23" s="56">
        <v>1524</v>
      </c>
      <c r="D23" s="56"/>
      <c r="E23" s="57" cm="1">
        <f t="array" ref="E23:E24">'[2]SBR2 D&amp;E'!K138:K139</f>
        <v>283</v>
      </c>
      <c r="F23" s="77"/>
      <c r="G23" s="6" t="s">
        <v>125</v>
      </c>
      <c r="H23" s="56"/>
      <c r="I23" s="56">
        <f>GETPIVOTDATA("[Measures].[Sum of Failed Val Count]",'[2]SBR2 D&amp;E'!$G$3,"[Range].[Service Name]","[Range].[Service Name].&amp;[cufi]","[Range].[Action Name]","[Range].[Action Name].&amp;[Submit]")</f>
        <v>113</v>
      </c>
      <c r="J23" s="56"/>
      <c r="K23" s="57"/>
    </row>
    <row r="24" spans="1:11" x14ac:dyDescent="0.4">
      <c r="A24" s="6" t="s">
        <v>29</v>
      </c>
      <c r="B24" s="56">
        <v>638</v>
      </c>
      <c r="C24" s="56">
        <v>3672</v>
      </c>
      <c r="D24" s="56"/>
      <c r="E24" s="57">
        <v>48</v>
      </c>
      <c r="F24" s="77"/>
      <c r="G24" s="6" t="s">
        <v>148</v>
      </c>
      <c r="H24" s="56"/>
      <c r="I24" s="56">
        <f>GETPIVOTDATA("[Measures].[Sum of Failed Val Count]",'[2]SBR2 D&amp;E'!$G$3,"[Range].[Service Name]","[Range].[Service Name].&amp;[cufi]","[Range].[Action Name]","[Range].[Action Name].&amp;[Validate]")</f>
        <v>4</v>
      </c>
      <c r="J24" s="56"/>
      <c r="K24" s="57"/>
    </row>
    <row r="25" spans="1:11" x14ac:dyDescent="0.4">
      <c r="A25" s="6" t="s">
        <v>30</v>
      </c>
      <c r="B25" s="56"/>
      <c r="C25" s="56" cm="1">
        <f t="array" ref="C25:C26">'[2]SBR2 D&amp;E'!I141:I142</f>
        <v>1</v>
      </c>
      <c r="D25" s="56"/>
      <c r="E25" s="57" cm="1">
        <f t="array" ref="E25:E26">'[2]SBR2 D&amp;E'!K141:K142</f>
        <v>1</v>
      </c>
      <c r="F25" s="77"/>
      <c r="G25" s="6" t="s">
        <v>145</v>
      </c>
      <c r="H25" s="56"/>
      <c r="I25" s="56"/>
      <c r="J25" s="56"/>
      <c r="K25" s="57">
        <f>GETPIVOTDATA("[Measures].[Sum of System Error Count]",'[2]SBR2 D&amp;E'!$G$3,"[Range].[Service Name]","[Range].[Service Name].&amp;[cureladd]","[Range].[Action Name]","[Range].[Action Name].&amp;[Submit]")</f>
        <v>2</v>
      </c>
    </row>
    <row r="26" spans="1:11" x14ac:dyDescent="0.4">
      <c r="A26" s="6" t="s">
        <v>31</v>
      </c>
      <c r="B26" s="56">
        <f>GETPIVOTDATA("[Measures].[Sum of Failed Auth Count]",'[2]SBR2 D&amp;E'!$G$3,"[Range].[Service Name]","[Range].[Service Name].&amp;[trtami]","[Range].[Action Name]","[Range].[Action Name].&amp;[Validate]")</f>
        <v>31</v>
      </c>
      <c r="C26" s="56">
        <v>215</v>
      </c>
      <c r="D26" s="56"/>
      <c r="E26" s="57">
        <v>6</v>
      </c>
      <c r="F26" s="77"/>
      <c r="G26" s="6" t="s">
        <v>90</v>
      </c>
      <c r="H26" s="56" cm="1">
        <f t="array" ref="H26:K29">'[2]SBR2 D&amp;E'!H47:K50</f>
        <v>79</v>
      </c>
      <c r="I26" s="56">
        <v>64</v>
      </c>
      <c r="J26" s="56">
        <v>49</v>
      </c>
      <c r="K26" s="57">
        <v>150</v>
      </c>
    </row>
    <row r="27" spans="1:11" x14ac:dyDescent="0.4">
      <c r="A27" s="7" t="s">
        <v>118</v>
      </c>
      <c r="B27" s="58" cm="1">
        <f t="array" ref="B27:C27">'[2]SBR2 D&amp;E'!H146:I146</f>
        <v>8</v>
      </c>
      <c r="C27" s="58">
        <v>3</v>
      </c>
      <c r="D27" s="58"/>
      <c r="E27" s="59">
        <f>GETPIVOTDATA("[Measures].[Sum of System Error Count]",'[2]SBR2 D&amp;E'!$G$3,"[Range].[Service Name]","[Range].[Service Name].&amp;[trusttfnreport]","[Range].[Action Name]","[Range].[Action Name].&amp;[Submit]")</f>
        <v>2</v>
      </c>
      <c r="F27" s="77"/>
      <c r="G27" s="6" t="s">
        <v>91</v>
      </c>
      <c r="H27" s="56">
        <v>29</v>
      </c>
      <c r="I27" s="56">
        <v>2</v>
      </c>
      <c r="J27" s="56">
        <v>2</v>
      </c>
      <c r="K27" s="57">
        <v>1</v>
      </c>
    </row>
    <row r="28" spans="1:11" x14ac:dyDescent="0.4">
      <c r="A28" s="75"/>
      <c r="B28" s="75"/>
      <c r="C28" s="75"/>
      <c r="D28" s="75"/>
      <c r="E28" s="75"/>
      <c r="F28" s="77"/>
      <c r="G28" s="6" t="s">
        <v>92</v>
      </c>
      <c r="H28" s="56">
        <v>5</v>
      </c>
      <c r="I28" s="56">
        <v>42</v>
      </c>
      <c r="J28" s="56">
        <v>496</v>
      </c>
      <c r="K28" s="57">
        <v>7</v>
      </c>
    </row>
    <row r="29" spans="1:11" ht="16.3" x14ac:dyDescent="0.4">
      <c r="A29" s="26" t="s">
        <v>143</v>
      </c>
      <c r="B29" s="37" t="s">
        <v>112</v>
      </c>
      <c r="C29" s="37" t="s">
        <v>113</v>
      </c>
      <c r="D29" s="38" t="s">
        <v>114</v>
      </c>
      <c r="E29" s="39" t="s">
        <v>115</v>
      </c>
      <c r="F29" s="77"/>
      <c r="G29" s="6" t="s">
        <v>93</v>
      </c>
      <c r="H29" s="56">
        <v>247</v>
      </c>
      <c r="I29" s="56">
        <v>108</v>
      </c>
      <c r="J29" s="56">
        <v>1071</v>
      </c>
      <c r="K29" s="57">
        <v>27</v>
      </c>
    </row>
    <row r="30" spans="1:11" x14ac:dyDescent="0.4">
      <c r="A30" s="15" t="s">
        <v>36</v>
      </c>
      <c r="B30" s="60"/>
      <c r="C30" s="60" cm="1">
        <f t="array" ref="C30:E30">'[2]SBR2 D&amp;E'!I74:K74</f>
        <v>10</v>
      </c>
      <c r="D30" s="60">
        <v>687</v>
      </c>
      <c r="E30" s="61">
        <v>11</v>
      </c>
      <c r="F30" s="77"/>
      <c r="G30" s="6" t="s">
        <v>94</v>
      </c>
      <c r="H30" s="56"/>
      <c r="I30" s="56" cm="1">
        <f t="array" ref="I30:K30">'[2]SBR2 D&amp;E'!I51:K51</f>
        <v>2</v>
      </c>
      <c r="J30" s="56">
        <v>1</v>
      </c>
      <c r="K30" s="57">
        <v>1</v>
      </c>
    </row>
    <row r="31" spans="1:11" x14ac:dyDescent="0.4">
      <c r="A31" s="6" t="s">
        <v>38</v>
      </c>
      <c r="B31" s="56">
        <f>GETPIVOTDATA("[Measures].[Sum of Failed Auth Count]",'[2]SBR2 D&amp;E'!$G$3,"[Range].[Service Name]","[Range].[Service Name].&amp;[fvsu]","[Range].[Action Name]","[Range].[Action Name].&amp;[Submit]")</f>
        <v>4</v>
      </c>
      <c r="C31" s="56"/>
      <c r="D31" s="56">
        <f>GETPIVOTDATA("[Measures].[Sum of Failed Backend Count]",'[2]SBR2 D&amp;E'!$G$3,"[Range].[Service Name]","[Range].[Service Name].&amp;[fvsu]","[Range].[Action Name]","[Range].[Action Name].&amp;[Submit]")</f>
        <v>1</v>
      </c>
      <c r="E31" s="57"/>
      <c r="F31" s="77"/>
      <c r="G31" s="6" t="s">
        <v>126</v>
      </c>
      <c r="H31" s="56">
        <f>GETPIVOTDATA("[Measures].[Sum of Failed Auth Count]",'[2]SBR2 D&amp;E'!$G$3,"[Range].[Service Name]","[Range].[Service Name].&amp;[curel]","[Range].[Action Name]","[Range].[Action Name].&amp;[ValidateRemove]")</f>
        <v>5</v>
      </c>
      <c r="I31" s="56"/>
      <c r="J31" s="56">
        <f>GETPIVOTDATA("[Measures].[Sum of Failed Backend Count]",'[2]SBR2 D&amp;E'!$G$3,"[Range].[Service Name]","[Range].[Service Name].&amp;[curel]","[Range].[Action Name]","[Range].[Action Name].&amp;[ValidateRemove]")</f>
        <v>1</v>
      </c>
      <c r="K31" s="57"/>
    </row>
    <row r="32" spans="1:11" x14ac:dyDescent="0.4">
      <c r="A32" s="6" t="s">
        <v>39</v>
      </c>
      <c r="B32" s="56" cm="1">
        <f t="array" ref="B32:E32">'[2]SBR2 D&amp;E'!H116:K116</f>
        <v>250</v>
      </c>
      <c r="C32" s="56">
        <v>48</v>
      </c>
      <c r="D32" s="56">
        <v>857</v>
      </c>
      <c r="E32" s="57">
        <v>43</v>
      </c>
      <c r="F32" s="77"/>
      <c r="G32" s="6" t="s">
        <v>96</v>
      </c>
      <c r="H32" s="56" cm="1">
        <f t="array" ref="H32:K32">'[2]SBR2 D&amp;E'!H56:K56</f>
        <v>149</v>
      </c>
      <c r="I32" s="56">
        <v>39</v>
      </c>
      <c r="J32" s="56">
        <v>1806</v>
      </c>
      <c r="K32" s="57">
        <v>176</v>
      </c>
    </row>
    <row r="33" spans="1:11" x14ac:dyDescent="0.4">
      <c r="A33" s="6" t="s">
        <v>40</v>
      </c>
      <c r="B33" s="56" cm="1">
        <f t="array" ref="B33:C33">'[2]SBR2 D&amp;E'!H121:I121</f>
        <v>673</v>
      </c>
      <c r="C33" s="56">
        <v>40</v>
      </c>
      <c r="D33" s="56"/>
      <c r="E33" s="57">
        <f>GETPIVOTDATA("[Measures].[Sum of System Error Count]",'[2]SBR2 D&amp;E'!$G$3,"[Range].[Service Name]","[Range].[Service Name].&amp;[smsfmbrvrfy]","[Range].[Action Name]","[Range].[Action Name].&amp;[Get]")</f>
        <v>7</v>
      </c>
      <c r="F33" s="77"/>
      <c r="G33" s="6" t="s">
        <v>97</v>
      </c>
      <c r="H33" s="56">
        <f>GETPIVOTDATA("[Measures].[Sum of Failed Auth Count]",'[2]SBR2 D&amp;E'!$G$3,"[Range].[Service Name]","[Range].[Service Name].&amp;[grpt]","[Range].[Action Name]","[Range].[Action Name].&amp;[Get]")</f>
        <v>243547</v>
      </c>
      <c r="I33" s="56"/>
      <c r="J33" s="56"/>
      <c r="K33" s="57">
        <f>GETPIVOTDATA("[Measures].[Sum of System Error Count]",'[2]SBR2 D&amp;E'!$G$3,"[Range].[Service Name]","[Range].[Service Name].&amp;[grpt]","[Range].[Action Name]","[Range].[Action Name].&amp;[Get]")</f>
        <v>338</v>
      </c>
    </row>
    <row r="34" spans="1:11" x14ac:dyDescent="0.4">
      <c r="A34" s="6" t="s">
        <v>41</v>
      </c>
      <c r="B34" s="56" cm="1">
        <f t="array" ref="B34:E34">'[2]SBR2 D&amp;E'!H123:K123</f>
        <v>234</v>
      </c>
      <c r="C34" s="56">
        <v>386</v>
      </c>
      <c r="D34" s="56">
        <v>24</v>
      </c>
      <c r="E34" s="57">
        <v>22</v>
      </c>
      <c r="F34" s="77"/>
      <c r="G34" s="6" t="s">
        <v>98</v>
      </c>
      <c r="H34" s="56"/>
      <c r="I34" s="56" cm="1">
        <f t="array" ref="I34:K34">'[2]SBR2 D&amp;E'!I92:K92</f>
        <v>1</v>
      </c>
      <c r="J34" s="56">
        <v>181</v>
      </c>
      <c r="K34" s="57">
        <v>2</v>
      </c>
    </row>
    <row r="35" spans="1:11" x14ac:dyDescent="0.4">
      <c r="A35" s="6" t="s">
        <v>42</v>
      </c>
      <c r="B35" s="56"/>
      <c r="C35" s="56" cm="1">
        <f t="array" ref="C35:D35">'[2]SBR2 D&amp;E'!I125:J125</f>
        <v>3250</v>
      </c>
      <c r="D35" s="56">
        <v>12597</v>
      </c>
      <c r="E35" s="57">
        <f>GETPIVOTDATA("[Measures].[Sum of System Error Count]",'[2]SBR2 D&amp;E'!$G$3,"[Range].[Service Name]","[Range].[Service Name].&amp;[sprmbracctx]","[Range].[Action Name]","[Range].[Action Name].&amp;[Cancel]")</f>
        <v>4</v>
      </c>
      <c r="F35" s="77"/>
      <c r="G35" s="6" t="s">
        <v>99</v>
      </c>
      <c r="H35" s="56" cm="1">
        <f t="array" ref="H35:I35">'[2]SBR2 D&amp;E'!H94:I94</f>
        <v>449661</v>
      </c>
      <c r="I35" s="56">
        <v>4008</v>
      </c>
      <c r="J35" s="56"/>
      <c r="K35" s="57">
        <f>GETPIVOTDATA("[Measures].[Sum of System Error Count]",'[2]SBR2 D&amp;E'!$G$3,"[Range].[Service Name]","[Range].[Service Name].&amp;[ldglst]","[Range].[Action Name]","[Range].[Action Name].&amp;[List]")</f>
        <v>3164</v>
      </c>
    </row>
    <row r="36" spans="1:11" x14ac:dyDescent="0.4">
      <c r="A36" s="6" t="s">
        <v>43</v>
      </c>
      <c r="B36" s="56" cm="1">
        <f t="array" ref="B36:C36">'[2]SBR2 D&amp;E'!H126:I126</f>
        <v>218</v>
      </c>
      <c r="C36" s="56">
        <v>10193</v>
      </c>
      <c r="D36" s="56"/>
      <c r="E36" s="57">
        <f>GETPIVOTDATA("[Measures].[Sum of System Error Count]",'[2]SBR2 D&amp;E'!$G$3,"[Range].[Service Name]","[Range].[Service Name].&amp;[sprmbracctx]","[Range].[Action Name]","[Range].[Action Name].&amp;[Submit]")</f>
        <v>9863</v>
      </c>
      <c r="F36" s="77"/>
      <c r="G36" s="6" t="s">
        <v>140</v>
      </c>
      <c r="H36" s="56"/>
      <c r="I36" s="56"/>
      <c r="J36" s="56">
        <f>GETPIVOTDATA("[Measures].[Sum of Failed Backend Count]",'[2]SBR2 D&amp;E'!$G$3,"[Range].[Service Name]","[Range].[Service Name].&amp;[ldgnn]","[Range].[Action Name]","[Range].[Action Name].&amp;[Submit]")</f>
        <v>7</v>
      </c>
      <c r="K36" s="57"/>
    </row>
    <row r="37" spans="1:11" x14ac:dyDescent="0.4">
      <c r="A37" s="6" t="s">
        <v>44</v>
      </c>
      <c r="B37" s="56"/>
      <c r="C37" s="56">
        <f>GETPIVOTDATA("[Measures].[Sum of Failed Val Count]",'[2]SBR2 D&amp;E'!$G$3,"[Range].[Service Name]","[Range].[Service Name].&amp;[sprmbrinfo]","[Range].[Action Name]","[Range].[Action Name].&amp;[Get]")</f>
        <v>2</v>
      </c>
      <c r="D37" s="56">
        <f>GETPIVOTDATA("[Measures].[Sum of Failed Backend Count]",'[2]SBR2 D&amp;E'!$G$3,"[Range].[Service Name]","[Range].[Service Name].&amp;[sprmbrinfo]","[Range].[Action Name]","[Range].[Action Name].&amp;[Get]")</f>
        <v>88</v>
      </c>
      <c r="E37" s="57"/>
      <c r="F37" s="77"/>
      <c r="G37" s="6" t="s">
        <v>100</v>
      </c>
      <c r="H37" s="56" cm="1">
        <f t="array" ref="H37:K37">'[2]SBR2 D&amp;E'!H100:K100</f>
        <v>101</v>
      </c>
      <c r="I37" s="56">
        <v>33</v>
      </c>
      <c r="J37" s="56">
        <v>68</v>
      </c>
      <c r="K37" s="57">
        <v>112</v>
      </c>
    </row>
    <row r="38" spans="1:11" x14ac:dyDescent="0.4">
      <c r="A38" s="6" t="s">
        <v>45</v>
      </c>
      <c r="B38" s="56" cm="1">
        <f t="array" ref="B38:E38">'[2]SBR2 D&amp;E'!H129:K129</f>
        <v>409</v>
      </c>
      <c r="C38" s="56">
        <v>4668</v>
      </c>
      <c r="D38" s="56">
        <v>474</v>
      </c>
      <c r="E38" s="57">
        <v>57</v>
      </c>
      <c r="F38" s="77"/>
      <c r="G38" s="6" t="s">
        <v>101</v>
      </c>
      <c r="H38" s="56" cm="1">
        <f t="array" ref="H38:K38">'[2]SBR2 D&amp;E'!H106:K106</f>
        <v>201</v>
      </c>
      <c r="I38" s="56">
        <v>11</v>
      </c>
      <c r="J38" s="56">
        <v>294</v>
      </c>
      <c r="K38" s="57">
        <v>7006</v>
      </c>
    </row>
    <row r="39" spans="1:11" x14ac:dyDescent="0.4">
      <c r="A39" s="7" t="s">
        <v>46</v>
      </c>
      <c r="B39" s="58" cm="1">
        <f t="array" ref="B39:C39">'[2]SBR2 D&amp;E'!H131:I131</f>
        <v>10</v>
      </c>
      <c r="C39" s="58">
        <v>9990</v>
      </c>
      <c r="D39" s="58"/>
      <c r="E39" s="59">
        <f>GETPIVOTDATA("[Measures].[Sum of System Error Count]",'[2]SBR2 D&amp;E'!$G$3,"[Range].[Service Name]","[Range].[Service Name].&amp;[stic]","[Range].[Action Name]","[Range].[Action Name].&amp;[Submit]")</f>
        <v>264</v>
      </c>
      <c r="F39" s="77"/>
      <c r="G39" s="6" t="s">
        <v>103</v>
      </c>
      <c r="H39" s="56" cm="1">
        <f t="array" ref="H39:J39">'[2]SBR2 D&amp;E'!H102:J102</f>
        <v>8</v>
      </c>
      <c r="I39" s="56">
        <v>34</v>
      </c>
      <c r="J39" s="56">
        <v>6</v>
      </c>
      <c r="K39" s="57"/>
    </row>
    <row r="40" spans="1:11" x14ac:dyDescent="0.4">
      <c r="A40" s="75"/>
      <c r="B40" s="75"/>
      <c r="C40" s="75"/>
      <c r="D40" s="75"/>
      <c r="E40" s="75"/>
      <c r="F40" s="77"/>
      <c r="G40" s="6" t="s">
        <v>104</v>
      </c>
      <c r="H40" s="56">
        <f>GETPIVOTDATA("[Measures].[Sum of Failed Auth Count]",'[2]SBR2 D&amp;E'!$G$3,"[Range].[Service Name]","[Range].[Service Name].&amp;[mrpts]","[Range].[Action Name]","[Range].[Action Name].&amp;[Submit]")</f>
        <v>9</v>
      </c>
      <c r="I40" s="56"/>
      <c r="J40" s="56">
        <f>GETPIVOTDATA("[Measures].[Sum of Failed Backend Count]",'[2]SBR2 D&amp;E'!$G$3,"[Range].[Service Name]","[Range].[Service Name].&amp;[mrpts]","[Range].[Action Name]","[Range].[Action Name].&amp;[Submit]")</f>
        <v>229</v>
      </c>
      <c r="K40" s="57"/>
    </row>
    <row r="41" spans="1:11" ht="16.3" x14ac:dyDescent="0.4">
      <c r="A41" s="36" t="s">
        <v>137</v>
      </c>
      <c r="B41" s="23" t="s">
        <v>112</v>
      </c>
      <c r="C41" s="23" t="s">
        <v>113</v>
      </c>
      <c r="D41" s="24" t="s">
        <v>114</v>
      </c>
      <c r="E41" s="25" t="s">
        <v>115</v>
      </c>
      <c r="F41" s="77"/>
      <c r="G41" s="6" t="s">
        <v>105</v>
      </c>
      <c r="H41" s="56">
        <f>GETPIVOTDATA("[Measures].[Sum of Failed Auth Count]",'[2]SBR2 D&amp;E'!$G$3,"[Range].[Service Name]","[Range].[Service Name].&amp;[prn]","[Range].[Action Name]","[Range].[Action Name].&amp;[Get]")</f>
        <v>247</v>
      </c>
      <c r="I41" s="56"/>
      <c r="J41" s="56">
        <f>GETPIVOTDATA("[Measures].[Sum of Failed Backend Count]",'[2]SBR2 D&amp;E'!$G$3,"[Range].[Service Name]","[Range].[Service Name].&amp;[prn]","[Range].[Action Name]","[Range].[Action Name].&amp;[Get]")</f>
        <v>40</v>
      </c>
      <c r="K41" s="57"/>
    </row>
    <row r="42" spans="1:11" x14ac:dyDescent="0.4">
      <c r="A42" s="27" t="s">
        <v>56</v>
      </c>
      <c r="B42" s="60" cm="1">
        <f t="array" ref="B42:E43">'[2]SBR2 D&amp;E'!H108:K109</f>
        <v>53944</v>
      </c>
      <c r="C42" s="60">
        <v>34224</v>
      </c>
      <c r="D42" s="60">
        <v>20178</v>
      </c>
      <c r="E42" s="61">
        <v>805</v>
      </c>
      <c r="F42" s="77"/>
      <c r="G42" s="7" t="s">
        <v>102</v>
      </c>
      <c r="H42" s="58">
        <f>GETPIVOTDATA("[Measures].[Sum of Failed Auth Count]",'[2]SBR2 D&amp;E'!$G$3,"[Range].[Service Name]","[Range].[Service Name].&amp;[txlst]","[Range].[Action Name]","[Range].[Action Name].&amp;[List]")</f>
        <v>13666</v>
      </c>
      <c r="I42" s="58"/>
      <c r="J42" s="58" cm="1">
        <f t="array" ref="J42:K42">'[2]SBR2 D&amp;E'!J148:K148</f>
        <v>2</v>
      </c>
      <c r="K42" s="59">
        <v>3398</v>
      </c>
    </row>
    <row r="43" spans="1:11" x14ac:dyDescent="0.4">
      <c r="A43" s="28" t="s">
        <v>57</v>
      </c>
      <c r="B43" s="56">
        <v>4328</v>
      </c>
      <c r="C43" s="56">
        <v>6312</v>
      </c>
      <c r="D43" s="56">
        <v>1936</v>
      </c>
      <c r="E43" s="57">
        <v>64</v>
      </c>
      <c r="F43" s="77"/>
    </row>
    <row r="44" spans="1:11" x14ac:dyDescent="0.4">
      <c r="A44" s="28" t="s">
        <v>60</v>
      </c>
      <c r="B44" s="56"/>
      <c r="C44" s="56">
        <f>GETPIVOTDATA("[Measures].[Sum of Failed Val Count]",'[2]SBR2 D&amp;E'!$G$3,"[Range].[Service Name]","[Range].[Service Name].&amp;[tfnd]","[Range].[Action Name]","[Range].[Action Name].&amp;[Submit]")</f>
        <v>4771</v>
      </c>
      <c r="D44" s="56"/>
      <c r="E44" s="57">
        <f>GETPIVOTDATA("[Measures].[Sum of System Error Count]",'[2]SBR2 D&amp;E'!$G$3,"[Range].[Service Name]","[Range].[Service Name].&amp;[tfnd]","[Range].[Action Name]","[Range].[Action Name].&amp;[Submit]")</f>
        <v>14358</v>
      </c>
      <c r="F44" s="77"/>
      <c r="G44" s="78" t="s">
        <v>152</v>
      </c>
      <c r="H44" s="79"/>
      <c r="I44" s="79"/>
      <c r="J44" s="79"/>
      <c r="K44" s="80"/>
    </row>
    <row r="45" spans="1:11" ht="15" customHeight="1" x14ac:dyDescent="0.4">
      <c r="A45" s="28" t="s">
        <v>62</v>
      </c>
      <c r="B45" s="56"/>
      <c r="C45" s="56" cm="1">
        <f t="array" ref="C45:C46">'[2]SBR2 D&amp;E'!I135:I136</f>
        <v>30</v>
      </c>
      <c r="D45" s="56"/>
      <c r="E45" s="57">
        <f>GETPIVOTDATA("[Measures].[Sum of System Error Count]",'[2]SBR2 D&amp;E'!$G$3,"[Range].[Service Name]","[Range].[Service Name].&amp;[tpar]","[Range].[Action Name]","[Range].[Action Name].&amp;[Submit]")</f>
        <v>39</v>
      </c>
      <c r="F45" s="77"/>
      <c r="G45" s="81"/>
      <c r="H45" s="82"/>
      <c r="I45" s="82"/>
      <c r="J45" s="82"/>
      <c r="K45" s="83"/>
    </row>
    <row r="46" spans="1:11" x14ac:dyDescent="0.4">
      <c r="A46" s="29" t="s">
        <v>63</v>
      </c>
      <c r="B46" s="58"/>
      <c r="C46" s="58">
        <v>2</v>
      </c>
      <c r="D46" s="58"/>
      <c r="E46" s="59"/>
      <c r="F46" s="77"/>
      <c r="G46" s="81"/>
      <c r="H46" s="82"/>
      <c r="I46" s="82"/>
      <c r="J46" s="82"/>
      <c r="K46" s="83"/>
    </row>
    <row r="47" spans="1:11" x14ac:dyDescent="0.4">
      <c r="A47" s="75"/>
      <c r="B47" s="75"/>
      <c r="C47" s="75"/>
      <c r="D47" s="75"/>
      <c r="E47" s="75"/>
      <c r="F47" s="77"/>
      <c r="G47" s="81"/>
      <c r="H47" s="82"/>
      <c r="I47" s="82"/>
      <c r="J47" s="82"/>
      <c r="K47" s="83"/>
    </row>
    <row r="48" spans="1:11" ht="16.3" x14ac:dyDescent="0.4">
      <c r="A48" s="19" t="s">
        <v>136</v>
      </c>
      <c r="B48" s="33" t="s">
        <v>112</v>
      </c>
      <c r="C48" s="33" t="s">
        <v>113</v>
      </c>
      <c r="D48" s="34" t="s">
        <v>114</v>
      </c>
      <c r="E48" s="35" t="s">
        <v>115</v>
      </c>
      <c r="F48" s="77"/>
      <c r="G48" s="81"/>
      <c r="H48" s="82"/>
      <c r="I48" s="82"/>
      <c r="J48" s="82"/>
      <c r="K48" s="83"/>
    </row>
    <row r="49" spans="1:11" x14ac:dyDescent="0.4">
      <c r="A49" s="29" t="s">
        <v>108</v>
      </c>
      <c r="B49" s="49"/>
      <c r="C49" s="49">
        <f>GETPIVOTDATA("[Measures].[Sum of Failed Val Count]",'[2]SBR2 D&amp;E'!$G$3,"[Range].[Service Name]","[Range].[Service Name].&amp;[lcmsf]","[Range].[Action Name]","[Range].[Action Name].&amp;[Submit]")</f>
        <v>127</v>
      </c>
      <c r="D49" s="49"/>
      <c r="E49" s="50">
        <f>GETPIVOTDATA("[Measures].[Sum of System Error Count]",'[2]SBR2 D&amp;E'!$G$3,"[Range].[Service Name]","[Range].[Service Name].&amp;[lcmsf]","[Range].[Action Name]","[Range].[Action Name].&amp;[Submit]")</f>
        <v>5</v>
      </c>
      <c r="F49" s="77"/>
      <c r="G49" s="81"/>
      <c r="H49" s="82"/>
      <c r="I49" s="82"/>
      <c r="J49" s="82"/>
      <c r="K49" s="83"/>
    </row>
    <row r="50" spans="1:11" x14ac:dyDescent="0.4">
      <c r="F50" s="77"/>
      <c r="G50" s="81"/>
      <c r="H50" s="82"/>
      <c r="I50" s="82"/>
      <c r="J50" s="82"/>
      <c r="K50" s="83"/>
    </row>
    <row r="51" spans="1:11" ht="21" customHeight="1" x14ac:dyDescent="0.4">
      <c r="F51" s="77"/>
      <c r="G51" s="84"/>
      <c r="H51" s="85"/>
      <c r="I51" s="85"/>
      <c r="J51" s="85"/>
      <c r="K51" s="86"/>
    </row>
  </sheetData>
  <mergeCells count="6">
    <mergeCell ref="A1:K1"/>
    <mergeCell ref="A40:E40"/>
    <mergeCell ref="A47:E47"/>
    <mergeCell ref="F2:F51"/>
    <mergeCell ref="A28:E28"/>
    <mergeCell ref="G44:K5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About</vt:lpstr>
      <vt:lpstr>SBR1 Transactions &amp; Errors</vt:lpstr>
      <vt:lpstr>SBR2 Transactions</vt:lpstr>
      <vt:lpstr>SBR2 Errors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2023-05-07T21:26:55Z</dcterms:created>
  <dcterms:modified xsi:type="dcterms:W3CDTF">2023-05-07T21:27:00Z</dcterms:modified>
</cp:coreProperties>
</file>